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tabRatio="883" firstSheet="16" activeTab="20"/>
  </bookViews>
  <sheets>
    <sheet name="年报审计收费标准" sheetId="3" r:id="rId1"/>
    <sheet name="会计师事务所计时收费标准" sheetId="26" r:id="rId2"/>
    <sheet name="验资收费标准" sheetId="19" r:id="rId3"/>
    <sheet name="评估机构计时收费标准" sheetId="27" r:id="rId4"/>
    <sheet name="评估收费标准(新）" sheetId="20" r:id="rId5"/>
    <sheet name="浙价服【2005】6号房地产土地评估" sheetId="36" r:id="rId6"/>
    <sheet name="破产管理人收费标准" sheetId="22" r:id="rId7"/>
    <sheet name="文证审查（司法会计）司法鉴定" sheetId="8" r:id="rId8"/>
    <sheet name="镇财基2013 332施工图预算" sheetId="24" r:id="rId9"/>
    <sheet name="01投资估算编制或审核" sheetId="12" r:id="rId10"/>
    <sheet name="02设计概算编制或审核" sheetId="28" r:id="rId11"/>
    <sheet name="设计概算编制或审核" sheetId="13" state="hidden" r:id="rId12"/>
    <sheet name="04施工图工程预算编制或审核" sheetId="29" r:id="rId13"/>
    <sheet name="施工图工程预算编制或审核" sheetId="17" state="hidden" r:id="rId14"/>
    <sheet name="05工程量清单及招标控制价编制或审核" sheetId="30" r:id="rId15"/>
    <sheet name="工程量清单单独编制或审核" sheetId="14" state="hidden" r:id="rId16"/>
    <sheet name="06工程结算编制" sheetId="31" r:id="rId17"/>
    <sheet name="工程结算编制" sheetId="10" state="hidden" r:id="rId18"/>
    <sheet name="07工程结算审核" sheetId="32" r:id="rId19"/>
    <sheet name="工程结算审核" sheetId="9" state="hidden" r:id="rId20"/>
    <sheet name="08竣工决算编制或审核" sheetId="33" r:id="rId21"/>
    <sheet name="竣工决算编制或审核" sheetId="11" state="hidden" r:id="rId22"/>
    <sheet name="09全过程造价咨询" sheetId="34" r:id="rId23"/>
    <sheet name="全过程造价咨询" sheetId="18" state="hidden" r:id="rId24"/>
    <sheet name="10施工阶段全过程造价咨询" sheetId="37" r:id="rId25"/>
    <sheet name="11工程结算复审" sheetId="35" r:id="rId26"/>
    <sheet name="工程结算复审" sheetId="15" state="hidden" r:id="rId27"/>
    <sheet name="工程量清单及预算、招标控制价编制或审核" sheetId="16" state="hidden" r:id="rId28"/>
    <sheet name="工程造价鉴定" sheetId="25" r:id="rId29"/>
    <sheet name="货物招标" sheetId="38" r:id="rId30"/>
    <sheet name="服务招标" sheetId="39" r:id="rId31"/>
    <sheet name="工程招标" sheetId="40" r:id="rId32"/>
    <sheet name="招标代理" sheetId="7" state="hidden" r:id="rId33"/>
  </sheets>
  <definedNames>
    <definedName name="_xlnm.Print_Area" localSheetId="8">'镇财基2013 332施工图预算'!$A$1:$D$18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<sst xmlns="http://schemas.openxmlformats.org/spreadsheetml/2006/main" count="732" uniqueCount="261">
  <si>
    <t>宁波威远会计师事务所工作底稿</t>
  </si>
  <si>
    <t>被审验单位：</t>
  </si>
  <si>
    <t>(一)按年报收费标准计算的收费额</t>
  </si>
  <si>
    <t>被审计单位资产总额(万元)</t>
  </si>
  <si>
    <t>参照收费标准</t>
  </si>
  <si>
    <t>最低收费金额(元)</t>
  </si>
  <si>
    <t>最高收费金额（元）</t>
  </si>
  <si>
    <t>说明</t>
  </si>
  <si>
    <t>资产总额(万元)</t>
  </si>
  <si>
    <t>费率(万分之)</t>
  </si>
  <si>
    <t>审计收费(元)</t>
  </si>
  <si>
    <r>
      <rPr>
        <sz val="10"/>
        <rFont val="Times New Roman"/>
        <charset val="134"/>
      </rPr>
      <t>50</t>
    </r>
    <r>
      <rPr>
        <sz val="10"/>
        <rFont val="宋体"/>
        <charset val="134"/>
      </rPr>
      <t>及以下</t>
    </r>
  </si>
  <si>
    <r>
      <rPr>
        <sz val="10"/>
        <rFont val="Times New Roman"/>
        <charset val="134"/>
      </rPr>
      <t>5</t>
    </r>
    <r>
      <rPr>
        <sz val="10"/>
        <rFont val="宋体"/>
        <charset val="134"/>
      </rPr>
      <t>0-100（含100）</t>
    </r>
  </si>
  <si>
    <r>
      <rPr>
        <sz val="10"/>
        <rFont val="Times New Roman"/>
        <charset val="134"/>
      </rPr>
      <t>100-300</t>
    </r>
    <r>
      <rPr>
        <sz val="10"/>
        <rFont val="宋体"/>
        <charset val="134"/>
      </rPr>
      <t>（含</t>
    </r>
    <r>
      <rPr>
        <sz val="10"/>
        <rFont val="Times New Roman"/>
        <charset val="134"/>
      </rPr>
      <t>300</t>
    </r>
    <r>
      <rPr>
        <sz val="10"/>
        <rFont val="宋体"/>
        <charset val="134"/>
      </rPr>
      <t>）</t>
    </r>
  </si>
  <si>
    <r>
      <rPr>
        <sz val="10"/>
        <rFont val="Times New Roman"/>
        <charset val="134"/>
      </rPr>
      <t>300-600</t>
    </r>
    <r>
      <rPr>
        <sz val="10"/>
        <rFont val="宋体"/>
        <charset val="134"/>
      </rPr>
      <t>（含</t>
    </r>
    <r>
      <rPr>
        <sz val="10"/>
        <rFont val="Times New Roman"/>
        <charset val="134"/>
      </rPr>
      <t>600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</si>
  <si>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6</t>
    </r>
    <r>
      <rPr>
        <sz val="10"/>
        <rFont val="宋体"/>
        <charset val="134"/>
      </rPr>
      <t>00-1000（含1000）</t>
    </r>
  </si>
  <si>
    <t>1000-2000（含2000）</t>
  </si>
  <si>
    <t>2000-4000（含4000）</t>
  </si>
  <si>
    <t>4000-6000（含6000）</t>
  </si>
  <si>
    <t>6000-8000（含8000）</t>
  </si>
  <si>
    <t>8000-1亿（含1亿）</t>
  </si>
  <si>
    <t>1亿以上部分</t>
  </si>
  <si>
    <t>←请输入资产数</t>
  </si>
  <si>
    <t>总金额</t>
  </si>
  <si>
    <t>(二)按行业公约规定计算的收费额</t>
  </si>
  <si>
    <t>收费类型</t>
  </si>
  <si>
    <t>应收费额</t>
  </si>
  <si>
    <r>
      <rPr>
        <sz val="10"/>
        <rFont val="Times New Roman"/>
        <charset val="134"/>
      </rPr>
      <t>2011</t>
    </r>
    <r>
      <rPr>
        <sz val="10"/>
        <rFont val="宋体"/>
        <charset val="134"/>
      </rPr>
      <t>年度审计标准收费额</t>
    </r>
  </si>
  <si>
    <r>
      <rPr>
        <sz val="10"/>
        <rFont val="Times New Roman"/>
        <charset val="134"/>
      </rPr>
      <t>2012</t>
    </r>
    <r>
      <rPr>
        <sz val="10"/>
        <rFont val="宋体"/>
        <charset val="134"/>
      </rPr>
      <t>年度审计实际收费额</t>
    </r>
  </si>
  <si>
    <r>
      <rPr>
        <sz val="10"/>
        <rFont val="Times New Roman"/>
        <charset val="134"/>
      </rPr>
      <t>2014</t>
    </r>
    <r>
      <rPr>
        <sz val="10"/>
        <rFont val="宋体"/>
        <charset val="134"/>
      </rPr>
      <t>年度审计应收费</t>
    </r>
  </si>
  <si>
    <r>
      <rPr>
        <sz val="10"/>
        <rFont val="Times New Roman"/>
        <charset val="134"/>
      </rPr>
      <t>2015</t>
    </r>
    <r>
      <rPr>
        <sz val="10"/>
        <rFont val="宋体"/>
        <charset val="134"/>
      </rPr>
      <t>年度审计应收费</t>
    </r>
  </si>
  <si>
    <r>
      <rPr>
        <sz val="10"/>
        <rFont val="宋体"/>
        <charset val="134"/>
      </rPr>
      <t>2016</t>
    </r>
    <r>
      <rPr>
        <sz val="10"/>
        <rFont val="宋体"/>
        <charset val="134"/>
      </rPr>
      <t>年度审计应收费</t>
    </r>
  </si>
  <si>
    <t>老客户</t>
  </si>
  <si>
    <t>新客户</t>
  </si>
  <si>
    <t>特困老客户</t>
  </si>
  <si>
    <t>(三)上规模企业按行业公约规定计算的收费额</t>
  </si>
  <si>
    <t>资产规模（万元）</t>
  </si>
  <si>
    <t>标准收费（元）</t>
  </si>
  <si>
    <t>规模企业优惠收费</t>
  </si>
  <si>
    <r>
      <rPr>
        <sz val="10"/>
        <rFont val="Times New Roman"/>
        <charset val="134"/>
      </rPr>
      <t>2007</t>
    </r>
    <r>
      <rPr>
        <sz val="10"/>
        <rFont val="宋体"/>
        <charset val="134"/>
      </rPr>
      <t>年度审计标准收费</t>
    </r>
  </si>
  <si>
    <r>
      <rPr>
        <sz val="10"/>
        <rFont val="Times New Roman"/>
        <charset val="134"/>
      </rPr>
      <t>2007</t>
    </r>
    <r>
      <rPr>
        <sz val="10"/>
        <rFont val="宋体"/>
        <charset val="134"/>
      </rPr>
      <t>年度审计实际收费</t>
    </r>
  </si>
  <si>
    <t>新客户本年度收费额（元）</t>
  </si>
  <si>
    <r>
      <rPr>
        <sz val="10"/>
        <rFont val="宋体"/>
        <charset val="134"/>
      </rPr>
      <t>老客户</t>
    </r>
    <r>
      <rPr>
        <sz val="10"/>
        <rFont val="Times New Roman"/>
        <charset val="134"/>
      </rPr>
      <t>2012</t>
    </r>
    <r>
      <rPr>
        <sz val="10"/>
        <rFont val="宋体"/>
        <charset val="134"/>
      </rPr>
      <t>年度审计收费额（元）</t>
    </r>
  </si>
  <si>
    <r>
      <rPr>
        <sz val="10"/>
        <rFont val="宋体"/>
        <charset val="134"/>
      </rPr>
      <t>老客户</t>
    </r>
    <r>
      <rPr>
        <sz val="10"/>
        <rFont val="Times New Roman"/>
        <charset val="134"/>
      </rPr>
      <t>2013</t>
    </r>
    <r>
      <rPr>
        <sz val="10"/>
        <rFont val="宋体"/>
        <charset val="134"/>
      </rPr>
      <t>年度审计收费额（元）</t>
    </r>
  </si>
  <si>
    <r>
      <rPr>
        <sz val="10"/>
        <rFont val="宋体"/>
        <charset val="134"/>
      </rPr>
      <t>老客户</t>
    </r>
    <r>
      <rPr>
        <sz val="10"/>
        <rFont val="Times New Roman"/>
        <charset val="134"/>
      </rPr>
      <t>2014</t>
    </r>
    <r>
      <rPr>
        <sz val="10"/>
        <rFont val="宋体"/>
        <charset val="134"/>
      </rPr>
      <t>年度审计收费额（元）</t>
    </r>
  </si>
  <si>
    <r>
      <rPr>
        <sz val="10"/>
        <rFont val="宋体"/>
        <charset val="134"/>
      </rPr>
      <t>老客户</t>
    </r>
    <r>
      <rPr>
        <sz val="10"/>
        <rFont val="Times New Roman"/>
        <charset val="134"/>
      </rPr>
      <t>2015</t>
    </r>
    <r>
      <rPr>
        <sz val="10"/>
        <rFont val="宋体"/>
        <charset val="134"/>
      </rPr>
      <t>年度审计收费额（元）</t>
    </r>
  </si>
  <si>
    <r>
      <rPr>
        <sz val="10"/>
        <rFont val="宋体"/>
        <charset val="134"/>
      </rPr>
      <t>老客户</t>
    </r>
    <r>
      <rPr>
        <sz val="10"/>
        <rFont val="Times New Roman"/>
        <charset val="134"/>
      </rPr>
      <t>2016</t>
    </r>
    <r>
      <rPr>
        <sz val="10"/>
        <rFont val="宋体"/>
        <charset val="134"/>
      </rPr>
      <t>年度审计收费额（元）</t>
    </r>
  </si>
  <si>
    <t>1-5亿</t>
  </si>
  <si>
    <t>5-20亿</t>
  </si>
  <si>
    <t>20亿以上</t>
  </si>
  <si>
    <r>
      <rPr>
        <sz val="10"/>
        <rFont val="宋体"/>
        <charset val="134"/>
      </rPr>
      <t>备注：对以前年度未达到收费标准的客户（指老客户）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收费比上年度略有提高</t>
    </r>
    <r>
      <rPr>
        <sz val="10"/>
        <rFont val="宋体"/>
        <charset val="134"/>
      </rPr>
      <t>。</t>
    </r>
    <r>
      <rPr>
        <sz val="10"/>
        <rFont val="Times New Roman"/>
        <charset val="134"/>
      </rPr>
      <t xml:space="preserve">          </t>
    </r>
  </si>
  <si>
    <r>
      <rPr>
        <sz val="10"/>
        <rFont val="宋体"/>
        <charset val="134"/>
      </rPr>
      <t>依据：浙注协</t>
    </r>
    <r>
      <rPr>
        <sz val="10"/>
        <rFont val="Times New Roman"/>
        <charset val="134"/>
      </rPr>
      <t>[2011]15</t>
    </r>
    <r>
      <rPr>
        <sz val="10"/>
        <rFont val="宋体"/>
        <charset val="134"/>
      </rPr>
      <t>号、浙价服</t>
    </r>
    <r>
      <rPr>
        <sz val="10"/>
        <rFont val="Times New Roman"/>
        <charset val="134"/>
      </rPr>
      <t>[2011]91</t>
    </r>
    <r>
      <rPr>
        <sz val="10"/>
        <rFont val="宋体"/>
        <charset val="134"/>
      </rPr>
      <t>号</t>
    </r>
  </si>
  <si>
    <t>　项目负责人（签字）:</t>
  </si>
  <si>
    <t>收费经办人（签字）:</t>
  </si>
  <si>
    <t>收费日期:</t>
  </si>
  <si>
    <t>收费标准</t>
  </si>
  <si>
    <t>姓名</t>
  </si>
  <si>
    <t>类别</t>
  </si>
  <si>
    <t>小时数</t>
  </si>
  <si>
    <t>人员类别</t>
  </si>
  <si>
    <t>人数</t>
  </si>
  <si>
    <t>最低收费标准（元/小时）</t>
  </si>
  <si>
    <t>员工1</t>
  </si>
  <si>
    <t>主任（副主任）会计师</t>
  </si>
  <si>
    <t>员工2</t>
  </si>
  <si>
    <t>注册会计师</t>
  </si>
  <si>
    <t>员工3</t>
  </si>
  <si>
    <t>助理人员</t>
  </si>
  <si>
    <t>员工4</t>
  </si>
  <si>
    <t>合计</t>
  </si>
  <si>
    <t>员工5</t>
  </si>
  <si>
    <t>员工6</t>
  </si>
  <si>
    <t>员工7</t>
  </si>
  <si>
    <t>员工8</t>
  </si>
  <si>
    <t>员工9</t>
  </si>
  <si>
    <t>员工10</t>
  </si>
  <si>
    <t>(一)按设立验资收费标准计算的收费额</t>
  </si>
  <si>
    <t>按行业计算验证企业资本总额(万元)</t>
  </si>
  <si>
    <t>验资总额(万元)</t>
  </si>
  <si>
    <t>验资收费(元)</t>
  </si>
  <si>
    <t>10(含10)万元以下</t>
  </si>
  <si>
    <t>10-50(含50)</t>
  </si>
  <si>
    <t>50-100(含100)</t>
  </si>
  <si>
    <r>
      <rPr>
        <sz val="10"/>
        <rFont val="Times New Roman"/>
        <charset val="134"/>
      </rPr>
      <t>100</t>
    </r>
    <r>
      <rPr>
        <sz val="10"/>
        <rFont val="宋体"/>
        <charset val="134"/>
      </rPr>
      <t>-300(含300)</t>
    </r>
  </si>
  <si>
    <t>是否是变更验资</t>
  </si>
  <si>
    <t>是</t>
  </si>
  <si>
    <r>
      <rPr>
        <sz val="10"/>
        <rFont val="Times New Roman"/>
        <charset val="134"/>
      </rPr>
      <t>300</t>
    </r>
    <r>
      <rPr>
        <sz val="10"/>
        <rFont val="Times New Roman"/>
        <charset val="134"/>
      </rPr>
      <t>-600(</t>
    </r>
    <r>
      <rPr>
        <sz val="10"/>
        <rFont val="宋体"/>
        <charset val="134"/>
      </rPr>
      <t>含</t>
    </r>
    <r>
      <rPr>
        <sz val="10"/>
        <rFont val="Times New Roman"/>
        <charset val="134"/>
      </rPr>
      <t>600)</t>
    </r>
  </si>
  <si>
    <r>
      <rPr>
        <sz val="10"/>
        <rFont val="Times New Roman"/>
        <charset val="134"/>
      </rPr>
      <t>6</t>
    </r>
    <r>
      <rPr>
        <sz val="10"/>
        <rFont val="宋体"/>
        <charset val="134"/>
      </rPr>
      <t>00-1000(含1000)</t>
    </r>
  </si>
  <si>
    <r>
      <rPr>
        <sz val="10"/>
        <rFont val="Times New Roman"/>
        <charset val="134"/>
      </rPr>
      <t>1000</t>
    </r>
    <r>
      <rPr>
        <sz val="10"/>
        <rFont val="宋体"/>
        <charset val="134"/>
      </rPr>
      <t>万元以上</t>
    </r>
  </si>
  <si>
    <t>←请输入注册资本额（变更后注册资本）</t>
  </si>
  <si>
    <t>(二)按变更验资收费标准计算的收费额</t>
  </si>
  <si>
    <t>按设立验资计算的收费额</t>
  </si>
  <si>
    <r>
      <rPr>
        <sz val="10"/>
        <rFont val="宋体"/>
        <charset val="134"/>
      </rPr>
      <t>变更验资加收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％部分</t>
    </r>
  </si>
  <si>
    <t>收费金额（元）</t>
  </si>
  <si>
    <r>
      <rPr>
        <sz val="10"/>
        <rFont val="Times New Roman"/>
        <charset val="134"/>
      </rPr>
      <t>2</t>
    </r>
    <r>
      <rPr>
        <sz val="10"/>
        <rFont val="宋体"/>
        <charset val="134"/>
      </rPr>
      <t>、变更验资收费（注协标准）</t>
    </r>
  </si>
  <si>
    <t xml:space="preserve"> 根据浙注协[2011]15号、浙价服[2011]91号，费用按照注册资本额分档计收。</t>
  </si>
  <si>
    <t>涉及企业注册资本变更的验资服务，其基准收费标准可按注册资本变更后同档收费标准提高40％执行，但不得另行收取审计费用。</t>
  </si>
  <si>
    <t>项目负责人:</t>
  </si>
  <si>
    <t>收费经办人:</t>
  </si>
  <si>
    <t>法定代表人（首席合伙人）</t>
  </si>
  <si>
    <t>注册资产评估师</t>
  </si>
  <si>
    <t>按评估收费最新标准计算</t>
  </si>
  <si>
    <t>委托单位：</t>
  </si>
  <si>
    <r>
      <rPr>
        <sz val="11"/>
        <rFont val="宋体"/>
        <charset val="134"/>
      </rPr>
      <t>被估资产总额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万元</t>
    </r>
    <r>
      <rPr>
        <sz val="11"/>
        <rFont val="Times New Roman"/>
        <charset val="134"/>
      </rPr>
      <t>)</t>
    </r>
  </si>
  <si>
    <r>
      <rPr>
        <sz val="12"/>
        <rFont val="宋体"/>
        <charset val="134"/>
      </rPr>
      <t>最低收费金额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)</t>
    </r>
  </si>
  <si>
    <t>最高收费金额(元)</t>
  </si>
  <si>
    <t>费率(千分之)</t>
  </si>
  <si>
    <t>100万元以下</t>
  </si>
  <si>
    <t>100-1000（含1000）</t>
  </si>
  <si>
    <t>1000-5000（含5000）</t>
  </si>
  <si>
    <t>5000-10000（含10000）</t>
  </si>
  <si>
    <t>10000－100000（含100000）</t>
  </si>
  <si>
    <t>100000以上</t>
  </si>
  <si>
    <t>依据：浙评协[2011]4号、浙价服[2011]90号</t>
  </si>
  <si>
    <t>由资产评估机构按照上浮不超过20％，下浮不低于经营成本的原则，与委托人协商确定</t>
  </si>
  <si>
    <t>浙价服【2005】6号房地产土地评估收费计算表</t>
  </si>
  <si>
    <t>100-500（含500万元）</t>
  </si>
  <si>
    <t>500-2000（含2000万元）</t>
  </si>
  <si>
    <t>2000-5000（含5000万元）</t>
  </si>
  <si>
    <t>5000万元以上</t>
  </si>
  <si>
    <t>依据：浙价服【2005】6号</t>
  </si>
  <si>
    <t>管理人报酬计算表</t>
  </si>
  <si>
    <r>
      <rPr>
        <sz val="11"/>
        <rFont val="宋体"/>
        <charset val="134"/>
      </rPr>
      <t>债务人最终清偿的财产价值总额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万元</t>
    </r>
    <r>
      <rPr>
        <sz val="11"/>
        <rFont val="Times New Roman"/>
        <charset val="134"/>
      </rPr>
      <t>)</t>
    </r>
  </si>
  <si>
    <r>
      <rPr>
        <sz val="12"/>
        <rFont val="宋体"/>
        <charset val="134"/>
      </rPr>
      <t>收费金额</t>
    </r>
    <r>
      <rPr>
        <sz val="12"/>
        <rFont val="Times New Roman"/>
        <charset val="134"/>
      </rPr>
      <t>(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>)</t>
    </r>
  </si>
  <si>
    <t>计价基础(万元)</t>
  </si>
  <si>
    <t>费率(百分之)</t>
  </si>
  <si>
    <t>100万元及以下</t>
  </si>
  <si>
    <t>100-500（含500）</t>
  </si>
  <si>
    <t>500-1000（含1000）</t>
  </si>
  <si>
    <t>5000－10000（含10000）</t>
  </si>
  <si>
    <t>10000－50000（含50000）</t>
  </si>
  <si>
    <t>50000以上</t>
  </si>
  <si>
    <t>被鉴定单位：</t>
  </si>
  <si>
    <t>委托法院：</t>
  </si>
  <si>
    <t>根据浙发改价格〔2019〕332号</t>
  </si>
  <si>
    <t>司法鉴定按项计费，下述计算为最高收费标准</t>
  </si>
  <si>
    <t>文证审查（司法会计）司法鉴定基本费速算表</t>
  </si>
  <si>
    <t>被鉴定资产总额(万元)</t>
  </si>
  <si>
    <t>收费金额(元)</t>
  </si>
  <si>
    <t>鉴定资产额(万元)</t>
  </si>
  <si>
    <t>费率(千分之)或最低收费</t>
  </si>
  <si>
    <t>20万以下部分（含20万）</t>
  </si>
  <si>
    <t>最低800</t>
  </si>
  <si>
    <r>
      <rPr>
        <sz val="10"/>
        <rFont val="Times New Roman"/>
        <charset val="134"/>
      </rPr>
      <t>20-50</t>
    </r>
    <r>
      <rPr>
        <sz val="10"/>
        <rFont val="宋体"/>
        <charset val="134"/>
      </rPr>
      <t>万部分（含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万）</t>
    </r>
  </si>
  <si>
    <r>
      <rPr>
        <sz val="10"/>
        <rFont val="Times New Roman"/>
        <charset val="134"/>
      </rPr>
      <t>50-100</t>
    </r>
    <r>
      <rPr>
        <sz val="10"/>
        <rFont val="宋体"/>
        <charset val="134"/>
      </rPr>
      <t>万部分（含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万）</t>
    </r>
  </si>
  <si>
    <t>100-200万部分（含200万）</t>
  </si>
  <si>
    <t>200-500万部分（含500万）</t>
  </si>
  <si>
    <t>500万以上部分</t>
  </si>
  <si>
    <t>←请输入鉴定资产额</t>
  </si>
  <si>
    <t>收费金额</t>
  </si>
  <si>
    <t>一、涉及财产案件的文书鉴定，根据诉讼标的和鉴定标的两者中的较小值，根据标的额实行分段累计收取。</t>
  </si>
  <si>
    <t>二、20万元（含）以下的，按不超过基准收费标准执行；20万元至50万元（含）的部分，按不超过1%收取；50万元至100万元（含）的部分，按不超过0.8%收取；100万元至200万元（含）的部分，按不超过0.6%收取；200万元至500万元（含）的部分，按不超过0.3%收取；超过500万元以上部分，按不超过0.1%收取。</t>
  </si>
  <si>
    <t>三、基准收费适用（浙发改价格〔2019〕332号）“文证审查（复审）800/例”</t>
  </si>
  <si>
    <t>四、但每一鉴定项目累计收费不得超过5万元，同时每个案件总计收费最高不超过10万元。</t>
  </si>
  <si>
    <t>招标代理费用</t>
  </si>
  <si>
    <t>金额（元）</t>
  </si>
  <si>
    <t>小计（元）</t>
  </si>
  <si>
    <t>100-500万元</t>
  </si>
  <si>
    <t>500-1000万元</t>
  </si>
  <si>
    <t>1000-5000万元</t>
  </si>
  <si>
    <r>
      <rPr>
        <b/>
        <sz val="12"/>
        <rFont val="宋体"/>
        <charset val="134"/>
      </rPr>
      <t>5000万元</t>
    </r>
    <r>
      <rPr>
        <b/>
        <sz val="12"/>
        <rFont val="宋体"/>
        <charset val="134"/>
      </rPr>
      <t>-1亿元</t>
    </r>
  </si>
  <si>
    <t>1-5亿元</t>
  </si>
  <si>
    <t>5-10亿元</t>
  </si>
  <si>
    <t>10-50亿元</t>
  </si>
  <si>
    <t>50-100亿元</t>
  </si>
  <si>
    <t>100亿元以上</t>
  </si>
  <si>
    <t>招标代理费小计</t>
  </si>
  <si>
    <t>8折后的招标代理费</t>
  </si>
  <si>
    <t>招标评标专家费</t>
  </si>
  <si>
    <t>招标管理部门收取的有关费用</t>
  </si>
  <si>
    <t>总计</t>
  </si>
  <si>
    <t>注：代理费用仅含招标评标专家费和招标管理部门收取的有关费用，不含公证费。</t>
  </si>
  <si>
    <t>宁波威远工程造价咨询事务所工作底稿</t>
  </si>
  <si>
    <t>投资估算编制或审核收费速算表</t>
  </si>
  <si>
    <t>估算价总额(万元)</t>
  </si>
  <si>
    <t>估算价(万元)</t>
  </si>
  <si>
    <t>100万以下部分（含100万）</t>
  </si>
  <si>
    <t>最低3000</t>
  </si>
  <si>
    <r>
      <rPr>
        <sz val="10"/>
        <rFont val="Times New Roman"/>
        <charset val="134"/>
      </rPr>
      <t>100-500</t>
    </r>
    <r>
      <rPr>
        <sz val="10"/>
        <rFont val="宋体"/>
        <charset val="134"/>
      </rPr>
      <t>万部分（含</t>
    </r>
    <r>
      <rPr>
        <sz val="10"/>
        <rFont val="Times New Roman"/>
        <charset val="134"/>
      </rPr>
      <t>500</t>
    </r>
    <r>
      <rPr>
        <sz val="10"/>
        <rFont val="宋体"/>
        <charset val="134"/>
      </rPr>
      <t>万）</t>
    </r>
  </si>
  <si>
    <r>
      <rPr>
        <sz val="10"/>
        <rFont val="Times New Roman"/>
        <charset val="134"/>
      </rPr>
      <t>500-1000</t>
    </r>
    <r>
      <rPr>
        <sz val="10"/>
        <rFont val="宋体"/>
        <charset val="134"/>
      </rPr>
      <t>万部分（含</t>
    </r>
    <r>
      <rPr>
        <sz val="10"/>
        <rFont val="Times New Roman"/>
        <charset val="134"/>
      </rPr>
      <t>1000</t>
    </r>
    <r>
      <rPr>
        <sz val="10"/>
        <rFont val="宋体"/>
        <charset val="134"/>
      </rPr>
      <t>万）</t>
    </r>
  </si>
  <si>
    <t>1000-2000万部分（含2000万）</t>
  </si>
  <si>
    <t>2000-5000万部分（含5000万）</t>
  </si>
  <si>
    <t>5000-10000万部分（含10000万）</t>
  </si>
  <si>
    <t>10000-50000万部分（含50000万）</t>
  </si>
  <si>
    <t>5亿以上部分</t>
  </si>
  <si>
    <t>←请输入估算价</t>
  </si>
  <si>
    <t>设计概算编制或审核收费速算表</t>
  </si>
  <si>
    <t>概算价总额(万元)</t>
  </si>
  <si>
    <t>概算价(万元)</t>
  </si>
  <si>
    <t>←请输入概算价</t>
  </si>
  <si>
    <t>100万以下部份（含100万）</t>
  </si>
  <si>
    <r>
      <rPr>
        <sz val="10"/>
        <rFont val="Times New Roman"/>
        <charset val="134"/>
      </rPr>
      <t>100-500</t>
    </r>
    <r>
      <rPr>
        <sz val="10"/>
        <rFont val="宋体"/>
        <charset val="134"/>
      </rPr>
      <t>万部份（含</t>
    </r>
    <r>
      <rPr>
        <sz val="10"/>
        <rFont val="Times New Roman"/>
        <charset val="134"/>
      </rPr>
      <t>500</t>
    </r>
    <r>
      <rPr>
        <sz val="10"/>
        <rFont val="宋体"/>
        <charset val="134"/>
      </rPr>
      <t>万）</t>
    </r>
  </si>
  <si>
    <r>
      <rPr>
        <sz val="10"/>
        <rFont val="Times New Roman"/>
        <charset val="134"/>
      </rPr>
      <t>500-1000</t>
    </r>
    <r>
      <rPr>
        <sz val="10"/>
        <rFont val="宋体"/>
        <charset val="134"/>
      </rPr>
      <t>万部份（含</t>
    </r>
    <r>
      <rPr>
        <sz val="10"/>
        <rFont val="Times New Roman"/>
        <charset val="134"/>
      </rPr>
      <t>1000</t>
    </r>
    <r>
      <rPr>
        <sz val="10"/>
        <rFont val="宋体"/>
        <charset val="134"/>
      </rPr>
      <t>万）</t>
    </r>
  </si>
  <si>
    <t>1000-2000万部份（含2000万）</t>
  </si>
  <si>
    <t>2000-5000万部份（含5000万）</t>
  </si>
  <si>
    <t>5000-10000万部份（含10000万）</t>
  </si>
  <si>
    <t>施工图工程预算编制或审核收费速算表</t>
  </si>
  <si>
    <t>建安工程造价总额(万元)</t>
  </si>
  <si>
    <t>建安工程造价(万元)</t>
  </si>
  <si>
    <t>←请输入建安工程造价</t>
  </si>
  <si>
    <t>10000-50000万部份（含50000万）</t>
  </si>
  <si>
    <t>工程量清单及招标控制价编制或审核收费速算表</t>
  </si>
  <si>
    <t>(清单计价法)工程量清单单独编制或审核收费速算表</t>
  </si>
  <si>
    <t>工程结算编制收费速算表</t>
  </si>
  <si>
    <t>工程结算审核收费速算表</t>
  </si>
  <si>
    <t>送审工程造价总额(万元)</t>
  </si>
  <si>
    <t>送审工程造价(万元)</t>
  </si>
  <si>
    <t>←请输入送审工程造价</t>
  </si>
  <si>
    <t>←请输入核减额</t>
  </si>
  <si>
    <t>追加收费金额</t>
  </si>
  <si>
    <t>超过5%以外的核减额,按超过部份的5%计追加收费</t>
  </si>
  <si>
    <t>←请输入核增额</t>
  </si>
  <si>
    <t>按核增额的5%计追加收费</t>
  </si>
  <si>
    <t>总收费金额</t>
  </si>
  <si>
    <t>基本收费金额(元)</t>
  </si>
  <si>
    <t>基本收费金额</t>
  </si>
  <si>
    <t>竣工决算编制或审核收费速算表</t>
  </si>
  <si>
    <t>建设项目总费用(万元)</t>
  </si>
  <si>
    <t>←请输入建设项目总费用</t>
  </si>
  <si>
    <t>全过程造价咨询收费速算表</t>
  </si>
  <si>
    <t>投资估算总额(万元)</t>
  </si>
  <si>
    <t>投资估算(万元)</t>
  </si>
  <si>
    <t>←请输入投资估算总额</t>
  </si>
  <si>
    <t>全过程工程造价咨询收费速算表</t>
  </si>
  <si>
    <t>施工阶段全过程造价咨询收费速算表</t>
  </si>
  <si>
    <t>←请输入建安工程造价总额</t>
  </si>
  <si>
    <t>工程结算复审收费速算表</t>
  </si>
  <si>
    <t>备注：绩效收费核减额的10%</t>
  </si>
  <si>
    <t>(清单计价法)工程量清单及预算、招标控制价的编制或审核收费速算表</t>
  </si>
  <si>
    <t>最低2000</t>
  </si>
  <si>
    <t>折扣</t>
  </si>
  <si>
    <t>工程造价鉴定基本费速算表</t>
  </si>
  <si>
    <t>最低5000</t>
  </si>
  <si>
    <t>货物招标收费速算表</t>
  </si>
  <si>
    <t>标的总额(万元)</t>
  </si>
  <si>
    <t>标的额(万元)</t>
  </si>
  <si>
    <r>
      <rPr>
        <sz val="10"/>
        <rFont val="Times New Roman"/>
        <charset val="134"/>
      </rPr>
      <t>1000-5000</t>
    </r>
    <r>
      <rPr>
        <sz val="10"/>
        <rFont val="宋体"/>
        <charset val="134"/>
      </rPr>
      <t>万部分（含</t>
    </r>
    <r>
      <rPr>
        <sz val="10"/>
        <rFont val="Times New Roman"/>
        <charset val="134"/>
      </rPr>
      <t>5000</t>
    </r>
    <r>
      <rPr>
        <sz val="10"/>
        <rFont val="宋体"/>
        <charset val="134"/>
      </rPr>
      <t>万）</t>
    </r>
  </si>
  <si>
    <r>
      <rPr>
        <sz val="10"/>
        <rFont val="Times New Roman"/>
        <charset val="134"/>
      </rPr>
      <t>5000-10000</t>
    </r>
    <r>
      <rPr>
        <sz val="10"/>
        <rFont val="宋体"/>
        <charset val="134"/>
      </rPr>
      <t>万部分（含10</t>
    </r>
    <r>
      <rPr>
        <sz val="10"/>
        <rFont val="Times New Roman"/>
        <charset val="134"/>
      </rPr>
      <t>000</t>
    </r>
    <r>
      <rPr>
        <sz val="10"/>
        <rFont val="宋体"/>
        <charset val="134"/>
      </rPr>
      <t>万）</t>
    </r>
  </si>
  <si>
    <r>
      <rPr>
        <sz val="10"/>
        <rFont val="Times New Roman"/>
        <charset val="134"/>
      </rPr>
      <t>10000-50000</t>
    </r>
    <r>
      <rPr>
        <sz val="10"/>
        <rFont val="宋体"/>
        <charset val="134"/>
      </rPr>
      <t>万部分（含5</t>
    </r>
    <r>
      <rPr>
        <sz val="10"/>
        <rFont val="Times New Roman"/>
        <charset val="134"/>
      </rPr>
      <t>0000</t>
    </r>
    <r>
      <rPr>
        <sz val="10"/>
        <rFont val="宋体"/>
        <charset val="134"/>
      </rPr>
      <t>万）</t>
    </r>
  </si>
  <si>
    <r>
      <rPr>
        <sz val="10"/>
        <rFont val="Times New Roman"/>
        <charset val="134"/>
      </rPr>
      <t>50000-100000</t>
    </r>
    <r>
      <rPr>
        <sz val="10"/>
        <rFont val="宋体"/>
        <charset val="134"/>
      </rPr>
      <t>万部分（含</t>
    </r>
    <r>
      <rPr>
        <sz val="10"/>
        <rFont val="Times New Roman"/>
        <charset val="134"/>
      </rPr>
      <t>100000</t>
    </r>
    <r>
      <rPr>
        <sz val="10"/>
        <rFont val="宋体"/>
        <charset val="134"/>
      </rPr>
      <t>万）</t>
    </r>
  </si>
  <si>
    <r>
      <rPr>
        <sz val="10"/>
        <rFont val="Times New Roman"/>
        <charset val="134"/>
      </rPr>
      <t>100000-500000</t>
    </r>
    <r>
      <rPr>
        <sz val="10"/>
        <rFont val="宋体"/>
        <charset val="134"/>
      </rPr>
      <t>万部分（含</t>
    </r>
    <r>
      <rPr>
        <sz val="10"/>
        <rFont val="Times New Roman"/>
        <charset val="134"/>
      </rPr>
      <t>500000</t>
    </r>
    <r>
      <rPr>
        <sz val="10"/>
        <rFont val="宋体"/>
        <charset val="134"/>
      </rPr>
      <t>万）</t>
    </r>
  </si>
  <si>
    <r>
      <rPr>
        <sz val="10"/>
        <rFont val="Times New Roman"/>
        <charset val="134"/>
      </rPr>
      <t>500000-1000000</t>
    </r>
    <r>
      <rPr>
        <sz val="10"/>
        <rFont val="宋体"/>
        <charset val="134"/>
      </rPr>
      <t>万部分（含</t>
    </r>
    <r>
      <rPr>
        <sz val="10"/>
        <rFont val="Times New Roman"/>
        <charset val="134"/>
      </rPr>
      <t>1000000</t>
    </r>
    <r>
      <rPr>
        <sz val="10"/>
        <rFont val="宋体"/>
        <charset val="134"/>
      </rPr>
      <t>万）</t>
    </r>
  </si>
  <si>
    <r>
      <rPr>
        <sz val="10"/>
        <rFont val="Times New Roman"/>
        <charset val="134"/>
      </rPr>
      <t>100</t>
    </r>
    <r>
      <rPr>
        <sz val="10"/>
        <rFont val="宋体"/>
        <charset val="134"/>
      </rPr>
      <t>亿以上部分</t>
    </r>
  </si>
  <si>
    <t>←请输入标的总额</t>
  </si>
  <si>
    <t>发改价格[2011]534号文</t>
  </si>
  <si>
    <t>服务招标收费速算表</t>
  </si>
  <si>
    <t>工程招标收费速算表</t>
  </si>
  <si>
    <t>招标代理服务收费标准( 费    率)</t>
  </si>
  <si>
    <t>金额（万元）</t>
  </si>
  <si>
    <r>
      <rPr>
        <sz val="9"/>
        <color indexed="8"/>
        <rFont val="宋体"/>
        <charset val="134"/>
      </rPr>
      <t>中标金额（万元）</t>
    </r>
    <r>
      <rPr>
        <sz val="9"/>
        <color indexed="8"/>
        <rFont val="_x000b__x000c_"/>
        <charset val="134"/>
      </rPr>
      <t xml:space="preserve"> </t>
    </r>
  </si>
  <si>
    <r>
      <rPr>
        <sz val="9"/>
        <color indexed="8"/>
        <rFont val="宋体"/>
        <charset val="134"/>
      </rPr>
      <t>工程招标</t>
    </r>
    <r>
      <rPr>
        <sz val="9"/>
        <color indexed="8"/>
        <rFont val="_x000b__x000c_"/>
        <charset val="134"/>
      </rPr>
      <t xml:space="preserve"> </t>
    </r>
  </si>
  <si>
    <t>价格（万元）</t>
  </si>
  <si>
    <t xml:space="preserve">100以下 </t>
  </si>
  <si>
    <t xml:space="preserve">100—500 </t>
  </si>
  <si>
    <t xml:space="preserve">500—1000 </t>
  </si>
  <si>
    <t xml:space="preserve">1000—5000 </t>
  </si>
  <si>
    <t xml:space="preserve">5000—10000 </t>
  </si>
  <si>
    <t xml:space="preserve">10000—100000 </t>
  </si>
  <si>
    <t xml:space="preserve">100000以上 </t>
  </si>
  <si>
    <t>总金额（万元）</t>
  </si>
  <si>
    <t>依据：计价格[2002]1980号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</si>
</sst>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%"/>
    <numFmt numFmtId="177" formatCode="0_);[Red]\(0\)"/>
    <numFmt numFmtId="178" formatCode="#,##0_);[Red]\(#,##0\)"/>
    <numFmt numFmtId="179" formatCode="0.00_);[Red]\(0.00\)"/>
    <numFmt numFmtId="180" formatCode="#,##0.00_);\(#,##0.00\)"/>
    <numFmt numFmtId="181" formatCode="_ * #,##0.0_ ;_ * \-#,##0.0_ ;_ * &quot;-&quot;?_ ;_ @_ "/>
    <numFmt numFmtId="182" formatCode="#,##0_ "/>
    <numFmt numFmtId="183" formatCode="0.00000%"/>
    <numFmt numFmtId="184" formatCode="#,##0.00_);[Red]\(#,##0.00\)"/>
    <numFmt numFmtId="185" formatCode="0.00_ "/>
    <numFmt numFmtId="186" formatCode="#,##0.00_ "/>
  </numFmts>
  <fonts count="40">
    <font>
      <sz val="12"/>
      <name val="宋体"/>
      <charset val="134"/>
    </font>
    <font>
      <sz val="9"/>
      <color indexed="8"/>
      <name val="宋体"/>
      <charset val="134"/>
    </font>
    <font>
      <b/>
      <sz val="18"/>
      <name val="宋体"/>
      <charset val="134"/>
    </font>
    <font>
      <b/>
      <sz val="9"/>
      <color indexed="8"/>
      <name val="宋体"/>
      <charset val="134"/>
    </font>
    <font>
      <sz val="10"/>
      <name val="楷体_GB2312"/>
      <charset val="134"/>
    </font>
    <font>
      <sz val="11"/>
      <name val="宋体"/>
      <charset val="134"/>
    </font>
    <font>
      <sz val="16"/>
      <color indexed="12"/>
      <name val="华文仿宋"/>
      <charset val="134"/>
    </font>
    <font>
      <sz val="10"/>
      <name val="宋体"/>
      <charset val="134"/>
    </font>
    <font>
      <sz val="10"/>
      <name val="Times New Roman"/>
      <charset val="134"/>
    </font>
    <font>
      <b/>
      <sz val="10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22"/>
      <name val="宋体"/>
      <charset val="134"/>
    </font>
    <font>
      <sz val="16"/>
      <color indexed="1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1"/>
      <name val="Times New Roman"/>
      <charset val="134"/>
    </font>
    <font>
      <sz val="9"/>
      <color indexed="8"/>
      <name val="_x000b__x000c_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/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10" borderId="3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4" fillId="0" borderId="34" applyNumberFormat="0" applyFill="0" applyAlignment="0" applyProtection="0">
      <alignment vertical="center"/>
    </xf>
    <xf numFmtId="0" fontId="25" fillId="0" borderId="3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1" borderId="36" applyNumberFormat="0" applyAlignment="0" applyProtection="0">
      <alignment vertical="center"/>
    </xf>
    <xf numFmtId="0" fontId="27" fillId="12" borderId="37" applyNumberFormat="0" applyAlignment="0" applyProtection="0">
      <alignment vertical="center"/>
    </xf>
    <xf numFmtId="0" fontId="28" fillId="12" borderId="36" applyNumberFormat="0" applyAlignment="0" applyProtection="0">
      <alignment vertical="center"/>
    </xf>
    <xf numFmtId="0" fontId="29" fillId="13" borderId="38" applyNumberFormat="0" applyAlignment="0" applyProtection="0">
      <alignment vertical="center"/>
    </xf>
    <xf numFmtId="0" fontId="30" fillId="0" borderId="39" applyNumberFormat="0" applyFill="0" applyAlignment="0" applyProtection="0">
      <alignment vertical="center"/>
    </xf>
    <xf numFmtId="0" fontId="31" fillId="0" borderId="40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02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176" fontId="1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hidden="1"/>
    </xf>
    <xf numFmtId="0" fontId="1" fillId="3" borderId="3" xfId="0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7" fillId="0" borderId="4" xfId="0" applyFont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 applyProtection="1">
      <alignment horizontal="center" vertical="center"/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0" fontId="7" fillId="0" borderId="7" xfId="0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horizontal="center" vertical="center"/>
      <protection hidden="1"/>
    </xf>
    <xf numFmtId="0" fontId="7" fillId="0" borderId="9" xfId="0" applyFont="1" applyBorder="1" applyAlignment="1" applyProtection="1">
      <alignment horizontal="center" vertical="center"/>
      <protection hidden="1"/>
    </xf>
    <xf numFmtId="177" fontId="8" fillId="4" borderId="7" xfId="0" applyNumberFormat="1" applyFont="1" applyFill="1" applyBorder="1" applyAlignment="1" applyProtection="1">
      <alignment horizontal="center" wrapText="1"/>
      <protection hidden="1"/>
    </xf>
    <xf numFmtId="0" fontId="7" fillId="0" borderId="8" xfId="0" applyFont="1" applyBorder="1" applyAlignment="1" applyProtection="1">
      <alignment horizontal="center" wrapText="1"/>
      <protection hidden="1"/>
    </xf>
    <xf numFmtId="178" fontId="7" fillId="0" borderId="8" xfId="0" applyNumberFormat="1" applyFont="1" applyBorder="1" applyAlignment="1" applyProtection="1">
      <alignment horizontal="center" wrapText="1"/>
      <protection hidden="1"/>
    </xf>
    <xf numFmtId="0" fontId="7" fillId="0" borderId="10" xfId="0" applyFont="1" applyBorder="1" applyAlignment="1" applyProtection="1">
      <alignment horizontal="center"/>
      <protection hidden="1"/>
    </xf>
    <xf numFmtId="0" fontId="8" fillId="0" borderId="8" xfId="0" applyFont="1" applyBorder="1" applyAlignment="1" applyProtection="1">
      <alignment horizontal="center" wrapText="1"/>
      <protection hidden="1"/>
    </xf>
    <xf numFmtId="179" fontId="9" fillId="5" borderId="11" xfId="0" applyNumberFormat="1" applyFont="1" applyFill="1" applyBorder="1" applyAlignment="1" applyProtection="1">
      <alignment horizontal="center"/>
      <protection locked="0"/>
    </xf>
    <xf numFmtId="180" fontId="9" fillId="4" borderId="11" xfId="0" applyNumberFormat="1" applyFont="1" applyFill="1" applyBorder="1" applyAlignment="1" applyProtection="1">
      <alignment horizontal="center" wrapText="1"/>
      <protection hidden="1"/>
    </xf>
    <xf numFmtId="0" fontId="9" fillId="4" borderId="11" xfId="0" applyFont="1" applyFill="1" applyBorder="1" applyAlignment="1" applyProtection="1">
      <alignment horizontal="center"/>
      <protection hidden="1"/>
    </xf>
    <xf numFmtId="41" fontId="9" fillId="4" borderId="11" xfId="0" applyNumberFormat="1" applyFont="1" applyFill="1" applyBorder="1" applyAlignment="1" applyProtection="1">
      <alignment horizontal="center"/>
      <protection hidden="1"/>
    </xf>
    <xf numFmtId="0" fontId="7" fillId="4" borderId="11" xfId="0" applyFont="1" applyFill="1" applyBorder="1" applyAlignment="1" applyProtection="1">
      <alignment horizontal="center"/>
      <protection hidden="1"/>
    </xf>
    <xf numFmtId="0" fontId="0" fillId="0" borderId="0" xfId="0" applyFont="1"/>
    <xf numFmtId="0" fontId="7" fillId="2" borderId="8" xfId="0" applyFont="1" applyFill="1" applyBorder="1" applyAlignment="1" applyProtection="1">
      <alignment horizontal="center" wrapText="1"/>
      <protection hidden="1"/>
    </xf>
    <xf numFmtId="178" fontId="7" fillId="2" borderId="8" xfId="0" applyNumberFormat="1" applyFont="1" applyFill="1" applyBorder="1" applyAlignment="1" applyProtection="1">
      <alignment horizontal="center" wrapText="1"/>
      <protection hidden="1"/>
    </xf>
    <xf numFmtId="0" fontId="9" fillId="4" borderId="11" xfId="0" applyFont="1" applyFill="1" applyBorder="1" applyAlignment="1" applyProtection="1">
      <alignment horizontal="right"/>
      <protection hidden="1"/>
    </xf>
    <xf numFmtId="41" fontId="0" fillId="0" borderId="0" xfId="0" applyNumberFormat="1"/>
    <xf numFmtId="179" fontId="0" fillId="0" borderId="0" xfId="0" applyNumberFormat="1"/>
    <xf numFmtId="0" fontId="0" fillId="6" borderId="0" xfId="0" applyFill="1"/>
    <xf numFmtId="177" fontId="8" fillId="6" borderId="7" xfId="0" applyNumberFormat="1" applyFont="1" applyFill="1" applyBorder="1" applyAlignment="1" applyProtection="1">
      <alignment horizontal="center" wrapText="1"/>
      <protection hidden="1"/>
    </xf>
    <xf numFmtId="0" fontId="7" fillId="6" borderId="8" xfId="0" applyFont="1" applyFill="1" applyBorder="1" applyAlignment="1" applyProtection="1">
      <alignment horizontal="center" wrapText="1"/>
      <protection hidden="1"/>
    </xf>
    <xf numFmtId="178" fontId="7" fillId="6" borderId="8" xfId="0" applyNumberFormat="1" applyFont="1" applyFill="1" applyBorder="1" applyAlignment="1" applyProtection="1">
      <alignment horizontal="center" wrapText="1"/>
      <protection hidden="1"/>
    </xf>
    <xf numFmtId="0" fontId="7" fillId="6" borderId="10" xfId="0" applyFont="1" applyFill="1" applyBorder="1" applyAlignment="1" applyProtection="1">
      <alignment horizontal="center"/>
      <protection hidden="1"/>
    </xf>
    <xf numFmtId="181" fontId="0" fillId="0" borderId="0" xfId="0" applyNumberFormat="1"/>
    <xf numFmtId="179" fontId="9" fillId="5" borderId="4" xfId="0" applyNumberFormat="1" applyFont="1" applyFill="1" applyBorder="1" applyAlignment="1" applyProtection="1">
      <alignment horizontal="center"/>
      <protection locked="0"/>
    </xf>
    <xf numFmtId="180" fontId="9" fillId="4" borderId="5" xfId="0" applyNumberFormat="1" applyFont="1" applyFill="1" applyBorder="1" applyAlignment="1" applyProtection="1">
      <alignment horizontal="left" wrapText="1"/>
      <protection hidden="1"/>
    </xf>
    <xf numFmtId="0" fontId="9" fillId="4" borderId="5" xfId="0" applyFont="1" applyFill="1" applyBorder="1" applyAlignment="1" applyProtection="1">
      <alignment horizontal="right"/>
      <protection hidden="1"/>
    </xf>
    <xf numFmtId="41" fontId="9" fillId="4" borderId="5" xfId="0" applyNumberFormat="1" applyFont="1" applyFill="1" applyBorder="1" applyAlignment="1" applyProtection="1">
      <alignment horizontal="center"/>
      <protection hidden="1"/>
    </xf>
    <xf numFmtId="0" fontId="7" fillId="4" borderId="12" xfId="0" applyFont="1" applyFill="1" applyBorder="1" applyAlignment="1" applyProtection="1">
      <alignment horizontal="center"/>
      <protection hidden="1"/>
    </xf>
    <xf numFmtId="179" fontId="9" fillId="5" borderId="7" xfId="0" applyNumberFormat="1" applyFont="1" applyFill="1" applyBorder="1" applyAlignment="1" applyProtection="1">
      <alignment horizontal="center"/>
      <protection locked="0"/>
    </xf>
    <xf numFmtId="180" fontId="9" fillId="4" borderId="8" xfId="0" applyNumberFormat="1" applyFont="1" applyFill="1" applyBorder="1" applyAlignment="1" applyProtection="1">
      <alignment horizontal="left" wrapText="1"/>
      <protection hidden="1"/>
    </xf>
    <xf numFmtId="0" fontId="9" fillId="4" borderId="8" xfId="0" applyFont="1" applyFill="1" applyBorder="1" applyAlignment="1" applyProtection="1">
      <alignment horizontal="right"/>
      <protection hidden="1"/>
    </xf>
    <xf numFmtId="41" fontId="9" fillId="4" borderId="8" xfId="0" applyNumberFormat="1" applyFont="1" applyFill="1" applyBorder="1" applyAlignment="1" applyProtection="1">
      <alignment horizontal="center"/>
      <protection hidden="1"/>
    </xf>
    <xf numFmtId="0" fontId="7" fillId="4" borderId="10" xfId="0" applyFont="1" applyFill="1" applyBorder="1" applyAlignment="1" applyProtection="1">
      <alignment horizontal="left" wrapText="1"/>
      <protection hidden="1"/>
    </xf>
    <xf numFmtId="0" fontId="7" fillId="4" borderId="10" xfId="0" applyFont="1" applyFill="1" applyBorder="1" applyAlignment="1" applyProtection="1">
      <alignment horizontal="left"/>
      <protection hidden="1"/>
    </xf>
    <xf numFmtId="180" fontId="9" fillId="4" borderId="13" xfId="0" applyNumberFormat="1" applyFont="1" applyFill="1" applyBorder="1" applyAlignment="1" applyProtection="1">
      <alignment horizontal="left" wrapText="1"/>
      <protection hidden="1"/>
    </xf>
    <xf numFmtId="0" fontId="9" fillId="4" borderId="13" xfId="0" applyFont="1" applyFill="1" applyBorder="1" applyAlignment="1" applyProtection="1">
      <alignment horizontal="right"/>
      <protection hidden="1"/>
    </xf>
    <xf numFmtId="41" fontId="9" fillId="4" borderId="13" xfId="0" applyNumberFormat="1" applyFont="1" applyFill="1" applyBorder="1" applyAlignment="1" applyProtection="1">
      <alignment horizontal="center"/>
      <protection hidden="1"/>
    </xf>
    <xf numFmtId="0" fontId="7" fillId="4" borderId="14" xfId="0" applyFont="1" applyFill="1" applyBorder="1" applyAlignment="1" applyProtection="1">
      <alignment horizontal="center"/>
      <protection hidden="1"/>
    </xf>
    <xf numFmtId="41" fontId="9" fillId="4" borderId="11" xfId="0" applyNumberFormat="1" applyFont="1" applyFill="1" applyBorder="1" applyAlignment="1" applyProtection="1">
      <protection hidden="1"/>
    </xf>
    <xf numFmtId="0" fontId="7" fillId="4" borderId="11" xfId="0" applyFont="1" applyFill="1" applyBorder="1" applyAlignment="1" applyProtection="1">
      <alignment horizontal="center" vertical="center" wrapText="1"/>
      <protection hidden="1"/>
    </xf>
    <xf numFmtId="9" fontId="0" fillId="0" borderId="0" xfId="0" applyNumberFormat="1"/>
    <xf numFmtId="43" fontId="0" fillId="0" borderId="0" xfId="0" applyNumberFormat="1"/>
    <xf numFmtId="0" fontId="0" fillId="0" borderId="0" xfId="49">
      <alignment vertical="center"/>
    </xf>
    <xf numFmtId="0" fontId="10" fillId="0" borderId="0" xfId="49" applyFont="1" applyFill="1" applyAlignment="1">
      <alignment horizontal="justify" vertical="center"/>
    </xf>
    <xf numFmtId="3" fontId="0" fillId="0" borderId="0" xfId="49" applyNumberFormat="1" applyFont="1">
      <alignment vertical="center"/>
    </xf>
    <xf numFmtId="9" fontId="11" fillId="0" borderId="0" xfId="49" applyNumberFormat="1" applyFont="1">
      <alignment vertical="center"/>
    </xf>
    <xf numFmtId="0" fontId="11" fillId="0" borderId="15" xfId="49" applyFont="1" applyBorder="1" applyAlignment="1">
      <alignment horizontal="center" vertical="center"/>
    </xf>
    <xf numFmtId="0" fontId="11" fillId="0" borderId="15" xfId="49" applyFont="1" applyBorder="1" applyAlignment="1">
      <alignment horizontal="justify" vertical="center"/>
    </xf>
    <xf numFmtId="182" fontId="11" fillId="0" borderId="15" xfId="49" applyNumberFormat="1" applyFont="1" applyBorder="1" applyAlignment="1">
      <alignment vertical="center"/>
    </xf>
    <xf numFmtId="183" fontId="11" fillId="0" borderId="15" xfId="49" applyNumberFormat="1" applyFont="1" applyBorder="1">
      <alignment vertical="center"/>
    </xf>
    <xf numFmtId="182" fontId="11" fillId="0" borderId="15" xfId="49" applyNumberFormat="1" applyFont="1" applyFill="1" applyBorder="1" applyAlignment="1">
      <alignment vertical="center"/>
    </xf>
    <xf numFmtId="43" fontId="0" fillId="0" borderId="0" xfId="1" applyAlignment="1">
      <alignment vertical="center"/>
    </xf>
    <xf numFmtId="0" fontId="0" fillId="0" borderId="16" xfId="49" applyBorder="1">
      <alignment vertical="center"/>
    </xf>
    <xf numFmtId="43" fontId="0" fillId="0" borderId="0" xfId="1" applyFont="1" applyBorder="1" applyAlignment="1">
      <alignment vertical="center"/>
    </xf>
    <xf numFmtId="43" fontId="0" fillId="0" borderId="0" xfId="1" applyBorder="1" applyAlignment="1">
      <alignment vertical="center"/>
    </xf>
    <xf numFmtId="0" fontId="0" fillId="0" borderId="0" xfId="49" applyBorder="1">
      <alignment vertical="center"/>
    </xf>
    <xf numFmtId="182" fontId="11" fillId="7" borderId="15" xfId="49" applyNumberFormat="1" applyFont="1" applyFill="1" applyBorder="1" applyAlignment="1">
      <alignment vertical="center"/>
    </xf>
    <xf numFmtId="176" fontId="11" fillId="0" borderId="15" xfId="49" applyNumberFormat="1" applyFont="1" applyBorder="1">
      <alignment vertical="center"/>
    </xf>
    <xf numFmtId="182" fontId="11" fillId="0" borderId="17" xfId="49" applyNumberFormat="1" applyFont="1" applyFill="1" applyBorder="1" applyAlignment="1">
      <alignment vertical="center"/>
    </xf>
    <xf numFmtId="0" fontId="11" fillId="0" borderId="15" xfId="49" applyFont="1" applyBorder="1">
      <alignment vertical="center"/>
    </xf>
    <xf numFmtId="3" fontId="11" fillId="0" borderId="15" xfId="49" applyNumberFormat="1" applyFont="1" applyFill="1" applyBorder="1" applyAlignment="1">
      <alignment vertical="center"/>
    </xf>
    <xf numFmtId="3" fontId="11" fillId="0" borderId="15" xfId="49" applyNumberFormat="1" applyFont="1" applyFill="1" applyBorder="1">
      <alignment vertical="center"/>
    </xf>
    <xf numFmtId="0" fontId="11" fillId="0" borderId="0" xfId="49" applyFont="1" applyFill="1" applyAlignment="1">
      <alignment vertical="center"/>
    </xf>
    <xf numFmtId="3" fontId="11" fillId="0" borderId="0" xfId="49" applyNumberFormat="1" applyFont="1" applyFill="1" applyAlignment="1">
      <alignment vertical="center"/>
    </xf>
    <xf numFmtId="0" fontId="5" fillId="7" borderId="0" xfId="0" applyFont="1" applyFill="1" applyAlignment="1" applyProtection="1">
      <alignment horizontal="left"/>
      <protection hidden="1"/>
    </xf>
    <xf numFmtId="0" fontId="5" fillId="7" borderId="0" xfId="0" applyFont="1" applyFill="1" applyAlignment="1" applyProtection="1">
      <alignment horizontal="center"/>
      <protection hidden="1"/>
    </xf>
    <xf numFmtId="0" fontId="7" fillId="0" borderId="15" xfId="0" applyFont="1" applyBorder="1" applyAlignment="1">
      <alignment horizontal="left" wrapText="1"/>
    </xf>
    <xf numFmtId="0" fontId="7" fillId="7" borderId="15" xfId="0" applyFont="1" applyFill="1" applyBorder="1" applyAlignment="1">
      <alignment horizontal="left" wrapText="1"/>
    </xf>
    <xf numFmtId="0" fontId="0" fillId="0" borderId="15" xfId="0" applyBorder="1" applyAlignment="1">
      <alignment wrapText="1"/>
    </xf>
    <xf numFmtId="0" fontId="0" fillId="0" borderId="0" xfId="50" applyFont="1">
      <alignment vertical="center"/>
    </xf>
    <xf numFmtId="0" fontId="0" fillId="0" borderId="0" xfId="50">
      <alignment vertical="center"/>
    </xf>
    <xf numFmtId="0" fontId="0" fillId="0" borderId="0" xfId="50" applyFont="1" applyAlignment="1">
      <alignment horizontal="center" vertical="center"/>
    </xf>
    <xf numFmtId="0" fontId="0" fillId="0" borderId="0" xfId="50" applyAlignment="1">
      <alignment horizontal="center" vertical="center"/>
    </xf>
    <xf numFmtId="0" fontId="0" fillId="0" borderId="18" xfId="50" applyBorder="1" applyAlignment="1">
      <alignment horizontal="left" vertical="center"/>
    </xf>
    <xf numFmtId="0" fontId="5" fillId="0" borderId="4" xfId="50" applyFont="1" applyBorder="1" applyAlignment="1" applyProtection="1">
      <alignment horizontal="center" vertical="center" wrapText="1"/>
      <protection hidden="1"/>
    </xf>
    <xf numFmtId="0" fontId="5" fillId="0" borderId="5" xfId="50" applyFont="1" applyBorder="1" applyAlignment="1" applyProtection="1">
      <alignment horizontal="center" vertical="center"/>
      <protection hidden="1"/>
    </xf>
    <xf numFmtId="0" fontId="0" fillId="0" borderId="5" xfId="50" applyFont="1" applyBorder="1" applyAlignment="1" applyProtection="1">
      <alignment horizontal="center" vertical="center"/>
      <protection hidden="1"/>
    </xf>
    <xf numFmtId="0" fontId="5" fillId="0" borderId="7" xfId="50" applyFont="1" applyBorder="1" applyAlignment="1" applyProtection="1">
      <alignment horizontal="center" vertical="center" wrapText="1"/>
      <protection hidden="1"/>
    </xf>
    <xf numFmtId="0" fontId="5" fillId="0" borderId="8" xfId="50" applyFont="1" applyBorder="1" applyAlignment="1" applyProtection="1">
      <alignment horizontal="center" vertical="center" wrapText="1"/>
      <protection hidden="1"/>
    </xf>
    <xf numFmtId="0" fontId="0" fillId="0" borderId="8" xfId="50" applyBorder="1" applyAlignment="1" applyProtection="1">
      <alignment horizontal="center" vertical="center"/>
      <protection hidden="1"/>
    </xf>
    <xf numFmtId="184" fontId="5" fillId="0" borderId="7" xfId="50" applyNumberFormat="1" applyFont="1" applyBorder="1" applyAlignment="1" applyProtection="1">
      <alignment horizontal="center" vertical="center"/>
      <protection hidden="1"/>
    </xf>
    <xf numFmtId="0" fontId="5" fillId="0" borderId="8" xfId="50" applyFont="1" applyBorder="1" applyAlignment="1" applyProtection="1">
      <alignment horizontal="left" vertical="top" wrapText="1"/>
      <protection hidden="1"/>
    </xf>
    <xf numFmtId="185" fontId="5" fillId="0" borderId="8" xfId="50" applyNumberFormat="1" applyFont="1" applyBorder="1" applyAlignment="1" applyProtection="1">
      <alignment horizontal="center" vertical="top" wrapText="1"/>
      <protection hidden="1"/>
    </xf>
    <xf numFmtId="184" fontId="5" fillId="0" borderId="8" xfId="50" applyNumberFormat="1" applyFont="1" applyBorder="1" applyAlignment="1" applyProtection="1">
      <alignment horizontal="center" vertical="center" wrapText="1"/>
      <protection hidden="1"/>
    </xf>
    <xf numFmtId="184" fontId="0" fillId="0" borderId="0" xfId="50" applyNumberFormat="1">
      <alignment vertical="center"/>
    </xf>
    <xf numFmtId="184" fontId="5" fillId="0" borderId="7" xfId="50" applyNumberFormat="1" applyFont="1" applyFill="1" applyBorder="1" applyAlignment="1" applyProtection="1">
      <alignment horizontal="center" vertical="center"/>
      <protection hidden="1"/>
    </xf>
    <xf numFmtId="0" fontId="5" fillId="0" borderId="8" xfId="50" applyFont="1" applyFill="1" applyBorder="1" applyAlignment="1" applyProtection="1">
      <alignment horizontal="left" vertical="top" wrapText="1"/>
      <protection hidden="1"/>
    </xf>
    <xf numFmtId="185" fontId="5" fillId="0" borderId="8" xfId="50" applyNumberFormat="1" applyFont="1" applyFill="1" applyBorder="1" applyAlignment="1" applyProtection="1">
      <alignment horizontal="center" vertical="top" wrapText="1"/>
      <protection hidden="1"/>
    </xf>
    <xf numFmtId="180" fontId="12" fillId="5" borderId="11" xfId="50" applyNumberFormat="1" applyFont="1" applyFill="1" applyBorder="1" applyAlignment="1" applyProtection="1">
      <alignment horizontal="center" wrapText="1"/>
      <protection locked="0"/>
    </xf>
    <xf numFmtId="180" fontId="12" fillId="4" borderId="11" xfId="50" applyNumberFormat="1" applyFont="1" applyFill="1" applyBorder="1" applyAlignment="1" applyProtection="1">
      <alignment horizontal="center" vertical="center" wrapText="1"/>
      <protection hidden="1"/>
    </xf>
    <xf numFmtId="0" fontId="12" fillId="4" borderId="11" xfId="50" applyFont="1" applyFill="1" applyBorder="1" applyAlignment="1" applyProtection="1">
      <alignment horizontal="center" vertical="top" wrapText="1"/>
      <protection hidden="1"/>
    </xf>
    <xf numFmtId="184" fontId="0" fillId="4" borderId="11" xfId="50" applyNumberFormat="1" applyFill="1" applyBorder="1" applyAlignment="1" applyProtection="1">
      <alignment horizontal="center"/>
      <protection hidden="1"/>
    </xf>
    <xf numFmtId="184" fontId="5" fillId="0" borderId="8" xfId="5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/>
    <xf numFmtId="0" fontId="5" fillId="0" borderId="18" xfId="0" applyFont="1" applyBorder="1" applyAlignment="1">
      <alignment horizontal="center"/>
    </xf>
    <xf numFmtId="0" fontId="5" fillId="0" borderId="15" xfId="0" applyFont="1" applyBorder="1"/>
    <xf numFmtId="0" fontId="5" fillId="0" borderId="15" xfId="0" applyFont="1" applyFill="1" applyBorder="1"/>
    <xf numFmtId="0" fontId="5" fillId="8" borderId="15" xfId="0" applyFont="1" applyFill="1" applyBorder="1"/>
    <xf numFmtId="0" fontId="5" fillId="7" borderId="15" xfId="0" applyFont="1" applyFill="1" applyBorder="1"/>
    <xf numFmtId="0" fontId="7" fillId="0" borderId="0" xfId="0" applyFont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7" fillId="0" borderId="11" xfId="0" applyFont="1" applyBorder="1" applyAlignment="1" applyProtection="1">
      <alignment horizontal="center" vertical="center" wrapText="1"/>
      <protection hidden="1"/>
    </xf>
    <xf numFmtId="0" fontId="7" fillId="0" borderId="19" xfId="0" applyFont="1" applyBorder="1" applyAlignment="1" applyProtection="1">
      <alignment horizontal="center" vertical="center" wrapText="1"/>
      <protection hidden="1"/>
    </xf>
    <xf numFmtId="0" fontId="7" fillId="0" borderId="12" xfId="0" applyFont="1" applyBorder="1" applyAlignment="1" applyProtection="1">
      <alignment horizontal="center" vertical="center"/>
      <protection hidden="1"/>
    </xf>
    <xf numFmtId="0" fontId="7" fillId="0" borderId="20" xfId="0" applyFont="1" applyBorder="1" applyAlignment="1" applyProtection="1">
      <alignment horizontal="center" vertical="center" wrapText="1"/>
      <protection hidden="1"/>
    </xf>
    <xf numFmtId="0" fontId="7" fillId="0" borderId="21" xfId="0" applyFont="1" applyBorder="1" applyAlignment="1" applyProtection="1">
      <alignment horizontal="center" vertical="center" wrapText="1"/>
      <protection hidden="1"/>
    </xf>
    <xf numFmtId="0" fontId="7" fillId="0" borderId="10" xfId="0" applyFont="1" applyBorder="1" applyAlignment="1" applyProtection="1">
      <alignment horizontal="center" vertical="center"/>
      <protection hidden="1"/>
    </xf>
    <xf numFmtId="184" fontId="13" fillId="4" borderId="7" xfId="0" applyNumberFormat="1" applyFont="1" applyFill="1" applyBorder="1" applyAlignment="1" applyProtection="1">
      <alignment horizontal="center" vertical="top" wrapText="1"/>
      <protection hidden="1"/>
    </xf>
    <xf numFmtId="178" fontId="7" fillId="0" borderId="8" xfId="0" applyNumberFormat="1" applyFont="1" applyBorder="1" applyAlignment="1" applyProtection="1">
      <alignment horizontal="center" vertical="center" wrapText="1"/>
      <protection hidden="1"/>
    </xf>
    <xf numFmtId="0" fontId="7" fillId="0" borderId="10" xfId="0" applyFont="1" applyBorder="1" applyAlignment="1" applyProtection="1">
      <alignment horizontal="center" vertical="center" shrinkToFit="1"/>
      <protection hidden="1"/>
    </xf>
    <xf numFmtId="0" fontId="7" fillId="2" borderId="10" xfId="0" applyFont="1" applyFill="1" applyBorder="1" applyAlignment="1" applyProtection="1">
      <alignment horizontal="center" vertical="center"/>
      <protection hidden="1"/>
    </xf>
    <xf numFmtId="0" fontId="7" fillId="2" borderId="8" xfId="0" applyFont="1" applyFill="1" applyBorder="1" applyAlignment="1" applyProtection="1">
      <alignment horizontal="center" vertical="center" wrapText="1"/>
      <protection hidden="1"/>
    </xf>
    <xf numFmtId="178" fontId="7" fillId="2" borderId="8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8" xfId="0" applyFont="1" applyFill="1" applyBorder="1" applyAlignment="1" applyProtection="1">
      <alignment horizontal="center" vertical="center" wrapText="1"/>
      <protection hidden="1"/>
    </xf>
    <xf numFmtId="0" fontId="8" fillId="0" borderId="8" xfId="0" applyFont="1" applyBorder="1" applyAlignment="1" applyProtection="1">
      <alignment horizontal="center" vertical="center" wrapText="1"/>
      <protection hidden="1"/>
    </xf>
    <xf numFmtId="184" fontId="14" fillId="5" borderId="22" xfId="0" applyNumberFormat="1" applyFont="1" applyFill="1" applyBorder="1" applyAlignment="1" applyProtection="1">
      <alignment horizontal="center" vertical="center"/>
      <protection locked="0"/>
    </xf>
    <xf numFmtId="180" fontId="9" fillId="4" borderId="23" xfId="0" applyNumberFormat="1" applyFont="1" applyFill="1" applyBorder="1" applyAlignment="1" applyProtection="1">
      <alignment horizontal="left" vertical="center" wrapText="1"/>
      <protection hidden="1"/>
    </xf>
    <xf numFmtId="0" fontId="7" fillId="4" borderId="23" xfId="0" applyFont="1" applyFill="1" applyBorder="1" applyAlignment="1" applyProtection="1">
      <alignment horizontal="center" vertical="center"/>
      <protection hidden="1"/>
    </xf>
    <xf numFmtId="0" fontId="9" fillId="4" borderId="23" xfId="0" applyFont="1" applyFill="1" applyBorder="1" applyAlignment="1" applyProtection="1">
      <alignment horizontal="center" vertical="center"/>
      <protection hidden="1"/>
    </xf>
    <xf numFmtId="43" fontId="9" fillId="4" borderId="23" xfId="0" applyNumberFormat="1" applyFont="1" applyFill="1" applyBorder="1" applyAlignment="1" applyProtection="1">
      <alignment horizontal="center" vertical="center"/>
      <protection hidden="1"/>
    </xf>
    <xf numFmtId="186" fontId="9" fillId="9" borderId="24" xfId="0" applyNumberFormat="1" applyFont="1" applyFill="1" applyBorder="1" applyAlignment="1" applyProtection="1">
      <alignment horizontal="center" vertical="center"/>
      <protection hidden="1"/>
    </xf>
    <xf numFmtId="0" fontId="6" fillId="0" borderId="25" xfId="0" applyFont="1" applyBorder="1" applyAlignment="1" applyProtection="1">
      <alignment horizontal="center" vertical="center"/>
      <protection hidden="1"/>
    </xf>
    <xf numFmtId="0" fontId="7" fillId="0" borderId="26" xfId="0" applyFont="1" applyBorder="1" applyAlignment="1" applyProtection="1">
      <alignment horizontal="center" vertical="center"/>
      <protection hidden="1"/>
    </xf>
    <xf numFmtId="0" fontId="7" fillId="0" borderId="4" xfId="0" applyFont="1" applyBorder="1" applyAlignment="1" applyProtection="1">
      <alignment horizontal="center" vertical="center"/>
      <protection hidden="1"/>
    </xf>
    <xf numFmtId="0" fontId="7" fillId="0" borderId="27" xfId="0" applyFont="1" applyBorder="1" applyAlignment="1" applyProtection="1">
      <alignment horizontal="center" vertical="center"/>
      <protection hidden="1"/>
    </xf>
    <xf numFmtId="186" fontId="9" fillId="9" borderId="26" xfId="0" applyNumberFormat="1" applyFont="1" applyFill="1" applyBorder="1" applyAlignment="1" applyProtection="1">
      <alignment horizontal="center" vertical="center"/>
      <protection hidden="1"/>
    </xf>
    <xf numFmtId="0" fontId="8" fillId="0" borderId="28" xfId="0" applyFont="1" applyBorder="1" applyAlignment="1" applyProtection="1">
      <alignment horizontal="left"/>
      <protection hidden="1"/>
    </xf>
    <xf numFmtId="0" fontId="8" fillId="0" borderId="29" xfId="0" applyFont="1" applyBorder="1" applyAlignment="1" applyProtection="1">
      <alignment horizontal="left"/>
      <protection hidden="1"/>
    </xf>
    <xf numFmtId="184" fontId="7" fillId="4" borderId="13" xfId="0" applyNumberFormat="1" applyFont="1" applyFill="1" applyBorder="1" applyAlignment="1" applyProtection="1">
      <alignment horizontal="center"/>
      <protection hidden="1"/>
    </xf>
    <xf numFmtId="184" fontId="9" fillId="4" borderId="14" xfId="0" applyNumberFormat="1" applyFont="1" applyFill="1" applyBorder="1" applyAlignment="1" applyProtection="1">
      <alignment horizontal="center"/>
      <protection hidden="1"/>
    </xf>
    <xf numFmtId="186" fontId="9" fillId="9" borderId="18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31" fontId="7" fillId="0" borderId="0" xfId="0" applyNumberFormat="1" applyFont="1" applyAlignment="1" applyProtection="1">
      <alignment horizontal="left" vertical="center"/>
      <protection hidden="1"/>
    </xf>
    <xf numFmtId="0" fontId="7" fillId="7" borderId="0" xfId="0" applyFont="1" applyFill="1" applyAlignment="1" applyProtection="1">
      <alignment horizontal="center" vertical="center"/>
      <protection hidden="1"/>
    </xf>
    <xf numFmtId="0" fontId="7" fillId="0" borderId="0" xfId="0" applyFont="1"/>
    <xf numFmtId="0" fontId="7" fillId="0" borderId="18" xfId="0" applyFont="1" applyBorder="1" applyAlignment="1">
      <alignment horizontal="center"/>
    </xf>
    <xf numFmtId="0" fontId="7" fillId="0" borderId="15" xfId="0" applyFont="1" applyBorder="1"/>
    <xf numFmtId="0" fontId="7" fillId="0" borderId="15" xfId="0" applyFont="1" applyFill="1" applyBorder="1"/>
    <xf numFmtId="0" fontId="7" fillId="8" borderId="15" xfId="0" applyFont="1" applyFill="1" applyBorder="1"/>
    <xf numFmtId="0" fontId="7" fillId="7" borderId="15" xfId="0" applyFont="1" applyFill="1" applyBorder="1"/>
    <xf numFmtId="0" fontId="15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horizontal="left" vertical="center" wrapText="1"/>
      <protection hidden="1"/>
    </xf>
    <xf numFmtId="177" fontId="8" fillId="4" borderId="7" xfId="0" applyNumberFormat="1" applyFont="1" applyFill="1" applyBorder="1" applyAlignment="1" applyProtection="1">
      <alignment horizontal="center" vertical="top" wrapText="1"/>
      <protection hidden="1"/>
    </xf>
    <xf numFmtId="0" fontId="8" fillId="0" borderId="8" xfId="0" applyFont="1" applyBorder="1" applyAlignment="1" applyProtection="1">
      <alignment horizontal="center" vertical="top" wrapText="1"/>
      <protection hidden="1"/>
    </xf>
    <xf numFmtId="0" fontId="7" fillId="0" borderId="8" xfId="0" applyFont="1" applyBorder="1" applyAlignment="1" applyProtection="1">
      <alignment horizontal="center" vertical="top" wrapText="1"/>
      <protection hidden="1"/>
    </xf>
    <xf numFmtId="0" fontId="7" fillId="0" borderId="8" xfId="0" applyFont="1" applyFill="1" applyBorder="1" applyAlignment="1" applyProtection="1">
      <alignment horizontal="center" vertical="top" wrapText="1"/>
      <protection hidden="1"/>
    </xf>
    <xf numFmtId="178" fontId="7" fillId="0" borderId="8" xfId="0" applyNumberFormat="1" applyFont="1" applyFill="1" applyBorder="1" applyAlignment="1" applyProtection="1">
      <alignment horizontal="center" vertical="center" wrapText="1"/>
      <protection hidden="1"/>
    </xf>
    <xf numFmtId="177" fontId="7" fillId="4" borderId="30" xfId="0" applyNumberFormat="1" applyFont="1" applyFill="1" applyBorder="1" applyAlignment="1" applyProtection="1">
      <alignment horizontal="center" vertical="top" wrapText="1"/>
      <protection hidden="1"/>
    </xf>
    <xf numFmtId="0" fontId="7" fillId="0" borderId="31" xfId="0" applyFont="1" applyFill="1" applyBorder="1" applyAlignment="1" applyProtection="1">
      <alignment horizontal="center" vertical="top" wrapText="1"/>
      <protection hidden="1"/>
    </xf>
    <xf numFmtId="178" fontId="7" fillId="0" borderId="31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10" xfId="0" applyFont="1" applyFill="1" applyBorder="1" applyAlignment="1" applyProtection="1">
      <alignment horizontal="center"/>
      <protection hidden="1"/>
    </xf>
    <xf numFmtId="180" fontId="9" fillId="4" borderId="11" xfId="0" applyNumberFormat="1" applyFont="1" applyFill="1" applyBorder="1" applyAlignment="1" applyProtection="1">
      <alignment horizontal="center" vertical="center" wrapText="1"/>
      <protection hidden="1"/>
    </xf>
    <xf numFmtId="0" fontId="9" fillId="4" borderId="11" xfId="0" applyFont="1" applyFill="1" applyBorder="1" applyAlignment="1" applyProtection="1">
      <alignment horizontal="center" vertical="center"/>
      <protection hidden="1"/>
    </xf>
    <xf numFmtId="184" fontId="7" fillId="4" borderId="11" xfId="0" applyNumberFormat="1" applyFont="1" applyFill="1" applyBorder="1" applyAlignment="1" applyProtection="1">
      <alignment horizontal="center"/>
      <protection hidden="1"/>
    </xf>
    <xf numFmtId="0" fontId="16" fillId="0" borderId="0" xfId="0" applyFont="1" applyBorder="1" applyAlignment="1" applyProtection="1">
      <alignment horizontal="center"/>
      <protection hidden="1"/>
    </xf>
    <xf numFmtId="0" fontId="8" fillId="0" borderId="5" xfId="0" applyFont="1" applyBorder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horizontal="center"/>
      <protection hidden="1"/>
    </xf>
    <xf numFmtId="43" fontId="7" fillId="4" borderId="8" xfId="0" applyNumberFormat="1" applyFont="1" applyFill="1" applyBorder="1" applyAlignment="1" applyProtection="1">
      <alignment horizontal="center"/>
      <protection hidden="1"/>
    </xf>
    <xf numFmtId="0" fontId="9" fillId="5" borderId="8" xfId="0" applyNumberFormat="1" applyFont="1" applyFill="1" applyBorder="1" applyAlignment="1" applyProtection="1">
      <alignment horizontal="center"/>
      <protection locked="0"/>
    </xf>
    <xf numFmtId="0" fontId="7" fillId="0" borderId="29" xfId="0" applyFont="1" applyBorder="1" applyAlignment="1" applyProtection="1">
      <alignment horizontal="center"/>
      <protection hidden="1"/>
    </xf>
    <xf numFmtId="43" fontId="7" fillId="4" borderId="13" xfId="0" applyNumberFormat="1" applyFont="1" applyFill="1" applyBorder="1" applyAlignment="1" applyProtection="1">
      <alignment horizontal="center"/>
      <protection hidden="1"/>
    </xf>
    <xf numFmtId="0" fontId="9" fillId="5" borderId="13" xfId="0" applyNumberFormat="1" applyFont="1" applyFill="1" applyBorder="1" applyAlignment="1" applyProtection="1">
      <alignment horizontal="center"/>
      <protection locked="0"/>
    </xf>
    <xf numFmtId="0" fontId="7" fillId="0" borderId="32" xfId="0" applyFont="1" applyFill="1" applyBorder="1" applyAlignment="1" applyProtection="1">
      <alignment horizontal="center"/>
      <protection hidden="1"/>
    </xf>
    <xf numFmtId="0" fontId="7" fillId="0" borderId="5" xfId="0" applyFont="1" applyBorder="1" applyAlignment="1" applyProtection="1">
      <alignment horizontal="center" vertical="center" wrapText="1"/>
      <protection hidden="1"/>
    </xf>
    <xf numFmtId="43" fontId="5" fillId="4" borderId="8" xfId="0" applyNumberFormat="1" applyFont="1" applyFill="1" applyBorder="1" applyAlignment="1" applyProtection="1">
      <alignment horizontal="center"/>
      <protection hidden="1"/>
    </xf>
    <xf numFmtId="0" fontId="5" fillId="0" borderId="7" xfId="0" applyFont="1" applyBorder="1" applyAlignment="1" applyProtection="1">
      <alignment horizontal="center"/>
      <protection hidden="1"/>
    </xf>
    <xf numFmtId="0" fontId="7" fillId="0" borderId="11" xfId="0" applyFont="1" applyFill="1" applyBorder="1" applyAlignment="1" applyProtection="1">
      <alignment vertical="center" wrapText="1"/>
      <protection hidden="1"/>
    </xf>
    <xf numFmtId="0" fontId="8" fillId="0" borderId="11" xfId="0" applyFont="1" applyFill="1" applyBorder="1" applyAlignment="1" applyProtection="1">
      <alignment vertical="center" wrapText="1"/>
      <protection hidden="1"/>
    </xf>
    <xf numFmtId="0" fontId="8" fillId="0" borderId="0" xfId="0" applyFont="1" applyFill="1" applyBorder="1" applyAlignment="1" applyProtection="1">
      <alignment vertical="center" wrapText="1"/>
      <protection hidden="1"/>
    </xf>
    <xf numFmtId="0" fontId="8" fillId="0" borderId="0" xfId="0" applyFont="1" applyFill="1" applyBorder="1" applyAlignment="1" applyProtection="1">
      <alignment horizontal="center" vertical="center" wrapText="1"/>
      <protection hidden="1"/>
    </xf>
    <xf numFmtId="31" fontId="4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Fill="1" applyAlignment="1" applyProtection="1">
      <alignment horizontal="center"/>
      <protection hidden="1"/>
    </xf>
    <xf numFmtId="9" fontId="7" fillId="0" borderId="0" xfId="0" applyNumberFormat="1" applyFont="1" applyFill="1" applyAlignment="1" applyProtection="1">
      <alignment horizontal="center"/>
      <protection hidden="1"/>
    </xf>
    <xf numFmtId="9" fontId="5" fillId="0" borderId="0" xfId="0" applyNumberFormat="1" applyFont="1" applyAlignment="1" applyProtection="1">
      <alignment horizontal="center"/>
      <protection hidden="1"/>
    </xf>
    <xf numFmtId="43" fontId="5" fillId="0" borderId="0" xfId="0" applyNumberFormat="1" applyFont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center" vertical="center" wrapText="1"/>
      <protection hidden="1"/>
    </xf>
    <xf numFmtId="43" fontId="7" fillId="4" borderId="10" xfId="0" applyNumberFormat="1" applyFont="1" applyFill="1" applyBorder="1" applyAlignment="1" applyProtection="1">
      <alignment horizontal="center"/>
      <protection hidden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评估最新收费速算表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7" Type="http://schemas.openxmlformats.org/officeDocument/2006/relationships/styles" Target="styles.xml"/><Relationship Id="rId36" Type="http://schemas.openxmlformats.org/officeDocument/2006/relationships/sharedStrings" Target="sharedStrings.xml"/><Relationship Id="rId35" Type="http://schemas.openxmlformats.org/officeDocument/2006/relationships/theme" Target="theme/theme1.xml"/><Relationship Id="rId34" Type="http://schemas.openxmlformats.org/officeDocument/2006/relationships/customXml" Target="../customXml/item1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0000"/>
    <pageSetUpPr fitToPage="1"/>
  </sheetPr>
  <dimension ref="A1:XFD33"/>
  <sheetViews>
    <sheetView showGridLines="0" workbookViewId="0">
      <selection activeCell="A17" sqref="A17"/>
    </sheetView>
  </sheetViews>
  <sheetFormatPr defaultColWidth="9" defaultRowHeight="13.5"/>
  <cols>
    <col min="1" max="1" width="12.5" style="14" customWidth="1"/>
    <col min="2" max="2" width="17.125" style="14" customWidth="1"/>
    <col min="3" max="3" width="14.375" style="14" customWidth="1"/>
    <col min="4" max="4" width="14" style="14" customWidth="1"/>
    <col min="5" max="5" width="15" style="14" customWidth="1"/>
    <col min="6" max="6" width="16.125" style="14" customWidth="1"/>
    <col min="7" max="7" width="14.5" style="14" customWidth="1"/>
    <col min="8" max="9" width="13.125" style="14" customWidth="1"/>
    <col min="10" max="11" width="12.25" style="14" customWidth="1"/>
    <col min="12" max="16384" width="9" style="14"/>
  </cols>
  <sheetData>
    <row r="1" spans="1:2">
      <c r="A1" s="13" t="s">
        <v>0</v>
      </c>
      <c r="B1" s="13"/>
    </row>
    <row r="2" spans="1:2">
      <c r="A2" s="12" t="s">
        <v>1</v>
      </c>
      <c r="B2" s="13"/>
    </row>
    <row r="3" s="163" customFormat="1" ht="20.25" customHeight="1" spans="1:6">
      <c r="A3" s="15" t="s">
        <v>2</v>
      </c>
      <c r="B3" s="15"/>
      <c r="C3" s="15"/>
      <c r="D3" s="15"/>
      <c r="E3" s="15"/>
      <c r="F3" s="15"/>
    </row>
    <row r="4" s="164" customFormat="1" ht="20.1" customHeight="1" spans="1:7">
      <c r="A4" s="16" t="s">
        <v>3</v>
      </c>
      <c r="B4" s="17" t="s">
        <v>4</v>
      </c>
      <c r="C4" s="17"/>
      <c r="D4" s="17"/>
      <c r="E4" s="17" t="s">
        <v>5</v>
      </c>
      <c r="F4" s="18" t="s">
        <v>6</v>
      </c>
      <c r="G4" s="18" t="s">
        <v>7</v>
      </c>
    </row>
    <row r="5" s="164" customFormat="1" ht="20.1" customHeight="1" spans="1:7">
      <c r="A5" s="19"/>
      <c r="B5" s="20" t="s">
        <v>8</v>
      </c>
      <c r="C5" s="20" t="s">
        <v>9</v>
      </c>
      <c r="D5" s="20" t="s">
        <v>10</v>
      </c>
      <c r="E5" s="21"/>
      <c r="F5" s="22"/>
      <c r="G5" s="22"/>
    </row>
    <row r="6" s="164" customFormat="1" ht="20.1" customHeight="1" spans="1:7">
      <c r="A6" s="167" t="str">
        <f>IF(A17&gt;0,IF(A17&lt;=50,A17,""),"")</f>
        <v/>
      </c>
      <c r="B6" s="168" t="s">
        <v>11</v>
      </c>
      <c r="C6" s="169"/>
      <c r="D6" s="130">
        <v>1200</v>
      </c>
      <c r="E6" s="130" t="str">
        <f>IF(A6="","",1200)</f>
        <v/>
      </c>
      <c r="F6" s="130" t="str">
        <f>IFERROR(E6*1.3,"")</f>
        <v/>
      </c>
      <c r="G6" s="26"/>
    </row>
    <row r="7" s="164" customFormat="1" ht="20.1" customHeight="1" spans="1:7">
      <c r="A7" s="167" t="str">
        <f>IF(A17&gt;50,IF(A17&lt;=100,A17,""),"")</f>
        <v/>
      </c>
      <c r="B7" s="168" t="s">
        <v>12</v>
      </c>
      <c r="C7" s="169"/>
      <c r="D7" s="130">
        <v>2000</v>
      </c>
      <c r="E7" s="130" t="str">
        <f>IF(A7="","",2000)</f>
        <v/>
      </c>
      <c r="F7" s="130" t="str">
        <f t="shared" ref="F7:F16" si="0">IFERROR(E7*1.3,"")</f>
        <v/>
      </c>
      <c r="G7" s="26"/>
    </row>
    <row r="8" s="164" customFormat="1" ht="20.1" customHeight="1" spans="1:9">
      <c r="A8" s="167" t="str">
        <f>IF(A17&gt;100,IF(A17&lt;=300,A17,""),"")</f>
        <v/>
      </c>
      <c r="B8" s="168" t="s">
        <v>13</v>
      </c>
      <c r="C8" s="169"/>
      <c r="D8" s="130">
        <v>3000</v>
      </c>
      <c r="E8" s="130" t="str">
        <f>IF(A8="","",3000)</f>
        <v/>
      </c>
      <c r="F8" s="130" t="str">
        <f t="shared" si="0"/>
        <v/>
      </c>
      <c r="G8" s="26"/>
      <c r="I8" s="196"/>
    </row>
    <row r="9" s="164" customFormat="1" ht="20.1" customHeight="1" spans="1:9">
      <c r="A9" s="167" t="str">
        <f>IF(A17&gt;300,IF(A17&lt;=600,A17,""),"")</f>
        <v/>
      </c>
      <c r="B9" s="168" t="s">
        <v>14</v>
      </c>
      <c r="C9" s="169"/>
      <c r="D9" s="130">
        <v>4000</v>
      </c>
      <c r="E9" s="130" t="str">
        <f>IF(A9="","",4000)</f>
        <v/>
      </c>
      <c r="F9" s="130" t="str">
        <f t="shared" si="0"/>
        <v/>
      </c>
      <c r="G9" s="26"/>
      <c r="I9" s="196"/>
    </row>
    <row r="10" s="164" customFormat="1" ht="20.1" customHeight="1" spans="1:9">
      <c r="A10" s="167" t="str">
        <f>IF(A17&gt;600,IF(A17&lt;=1000,A17,""),"")</f>
        <v/>
      </c>
      <c r="B10" s="170" t="s">
        <v>15</v>
      </c>
      <c r="C10" s="170"/>
      <c r="D10" s="171">
        <v>5000</v>
      </c>
      <c r="E10" s="171" t="str">
        <f>IF(A10="","",5000)</f>
        <v/>
      </c>
      <c r="F10" s="171" t="str">
        <f t="shared" si="0"/>
        <v/>
      </c>
      <c r="G10" s="26"/>
      <c r="I10" s="196"/>
    </row>
    <row r="11" s="164" customFormat="1" ht="20.1" customHeight="1" spans="1:9">
      <c r="A11" s="167" t="str">
        <f>IF(A17&gt;1000,IF(A17&lt;=2000,A17,""),"")</f>
        <v/>
      </c>
      <c r="B11" s="170" t="s">
        <v>16</v>
      </c>
      <c r="C11" s="170"/>
      <c r="D11" s="171">
        <v>6000</v>
      </c>
      <c r="E11" s="171" t="str">
        <f>IF(A11="","",6000)</f>
        <v/>
      </c>
      <c r="F11" s="171" t="str">
        <f t="shared" si="0"/>
        <v/>
      </c>
      <c r="G11" s="26"/>
      <c r="I11" s="197"/>
    </row>
    <row r="12" s="164" customFormat="1" ht="20.1" customHeight="1" spans="1:9">
      <c r="A12" s="167" t="str">
        <f>IF(A17&gt;2000,IF(A17&lt;=4000,A17,""),"")</f>
        <v/>
      </c>
      <c r="B12" s="170" t="s">
        <v>17</v>
      </c>
      <c r="C12" s="170"/>
      <c r="D12" s="171">
        <v>7500</v>
      </c>
      <c r="E12" s="171" t="str">
        <f>IF(A12="","",7500)</f>
        <v/>
      </c>
      <c r="F12" s="171" t="str">
        <f t="shared" si="0"/>
        <v/>
      </c>
      <c r="G12" s="26"/>
      <c r="I12" s="196"/>
    </row>
    <row r="13" s="164" customFormat="1" ht="20.1" customHeight="1" spans="1:9">
      <c r="A13" s="167" t="str">
        <f>IF(A17&gt;4000,IF(A17&lt;=6000,A17,""),"")</f>
        <v/>
      </c>
      <c r="B13" s="170" t="s">
        <v>18</v>
      </c>
      <c r="C13" s="170"/>
      <c r="D13" s="171">
        <v>9000</v>
      </c>
      <c r="E13" s="171" t="str">
        <f>IF(A13="","",9000)</f>
        <v/>
      </c>
      <c r="F13" s="171" t="str">
        <f t="shared" si="0"/>
        <v/>
      </c>
      <c r="G13" s="26"/>
      <c r="I13" s="196"/>
    </row>
    <row r="14" s="164" customFormat="1" ht="20.1" customHeight="1" spans="1:7">
      <c r="A14" s="167" t="str">
        <f>IF(A17&gt;6000,IF(A17&lt;=8000,A17,""),"")</f>
        <v/>
      </c>
      <c r="B14" s="170" t="s">
        <v>19</v>
      </c>
      <c r="C14" s="170"/>
      <c r="D14" s="171">
        <v>10500</v>
      </c>
      <c r="E14" s="171" t="str">
        <f>IF(A14="","",10500)</f>
        <v/>
      </c>
      <c r="F14" s="171" t="str">
        <f t="shared" si="0"/>
        <v/>
      </c>
      <c r="G14" s="26"/>
    </row>
    <row r="15" s="164" customFormat="1" ht="20.1" customHeight="1" spans="1:7">
      <c r="A15" s="167" t="str">
        <f>IF(A17&gt;8000,IF(A17&lt;=10000,A17,10000),"")</f>
        <v/>
      </c>
      <c r="B15" s="170" t="s">
        <v>20</v>
      </c>
      <c r="C15" s="170"/>
      <c r="D15" s="171">
        <v>12000</v>
      </c>
      <c r="E15" s="171" t="str">
        <f>IF(A15="","",12000)</f>
        <v/>
      </c>
      <c r="F15" s="171" t="str">
        <f t="shared" si="0"/>
        <v/>
      </c>
      <c r="G15" s="26"/>
    </row>
    <row r="16" s="164" customFormat="1" ht="20.1" customHeight="1" spans="1:7">
      <c r="A16" s="172" t="str">
        <f>IF(A17&gt;10000,A17-10000,"")</f>
        <v/>
      </c>
      <c r="B16" s="173" t="s">
        <v>21</v>
      </c>
      <c r="C16" s="173">
        <v>1.2</v>
      </c>
      <c r="D16" s="174"/>
      <c r="E16" s="174" t="str">
        <f>IF(A16="","",A16*1.2)</f>
        <v/>
      </c>
      <c r="F16" s="174" t="str">
        <f t="shared" si="0"/>
        <v/>
      </c>
      <c r="G16" s="175"/>
    </row>
    <row r="17" s="164" customFormat="1" ht="20.1" customHeight="1" spans="1:7">
      <c r="A17" s="28"/>
      <c r="B17" s="176" t="s">
        <v>22</v>
      </c>
      <c r="C17" s="32"/>
      <c r="D17" s="177" t="s">
        <v>23</v>
      </c>
      <c r="E17" s="178">
        <f>SUM(E6:E16)</f>
        <v>0</v>
      </c>
      <c r="F17" s="178">
        <f>SUM(F6:F16)</f>
        <v>0</v>
      </c>
      <c r="G17" s="32"/>
    </row>
    <row r="18" ht="18" hidden="1" customHeight="1" spans="1:9">
      <c r="A18" s="179" t="s">
        <v>24</v>
      </c>
      <c r="B18" s="179"/>
      <c r="C18" s="179"/>
      <c r="D18" s="179"/>
      <c r="E18" s="179"/>
      <c r="F18" s="179"/>
      <c r="G18" s="175"/>
      <c r="I18" s="198"/>
    </row>
    <row r="19" ht="25.5" hidden="1" customHeight="1" spans="1:9">
      <c r="A19" s="145" t="s">
        <v>25</v>
      </c>
      <c r="B19" s="17" t="s">
        <v>26</v>
      </c>
      <c r="C19" s="180" t="s">
        <v>27</v>
      </c>
      <c r="D19" s="180" t="s">
        <v>28</v>
      </c>
      <c r="E19" s="180" t="s">
        <v>29</v>
      </c>
      <c r="F19" s="180" t="s">
        <v>30</v>
      </c>
      <c r="G19" s="175" t="s">
        <v>31</v>
      </c>
      <c r="I19" s="199"/>
    </row>
    <row r="20" ht="12" hidden="1" customHeight="1" spans="1:7">
      <c r="A20" s="181" t="s">
        <v>32</v>
      </c>
      <c r="B20" s="182">
        <f>IF(E17&lt;12000,E17,"")</f>
        <v>0</v>
      </c>
      <c r="C20" s="183"/>
      <c r="D20" s="183"/>
      <c r="E20" s="182" t="str">
        <f>IF(C20&gt;1,(D20/C20+(1-D20/C20)*0.3)*B20,"")</f>
        <v/>
      </c>
      <c r="F20" s="182" t="str">
        <f>IF(C20&gt;1,(D20/C20+(1-D20/C20)*0.6)*B20,"")</f>
        <v/>
      </c>
      <c r="G20" s="175">
        <f>B20</f>
        <v>0</v>
      </c>
    </row>
    <row r="21" ht="12" hidden="1" customHeight="1" spans="1:7">
      <c r="A21" s="181" t="s">
        <v>33</v>
      </c>
      <c r="B21" s="182">
        <f>E17</f>
        <v>0</v>
      </c>
      <c r="C21" s="182">
        <v>0</v>
      </c>
      <c r="D21" s="182">
        <v>0</v>
      </c>
      <c r="E21" s="182">
        <f>SUM(B21)</f>
        <v>0</v>
      </c>
      <c r="F21" s="182">
        <f>SUM(B21)</f>
        <v>0</v>
      </c>
      <c r="G21" s="175">
        <f>SUM(B21)</f>
        <v>0</v>
      </c>
    </row>
    <row r="22" ht="12" hidden="1" customHeight="1" spans="1:7">
      <c r="A22" s="184" t="s">
        <v>34</v>
      </c>
      <c r="B22" s="185">
        <f>E17</f>
        <v>0</v>
      </c>
      <c r="C22" s="186"/>
      <c r="D22" s="186"/>
      <c r="E22" s="185" t="str">
        <f>IF(C22&gt;1,(D22/C22)*B22,"")</f>
        <v/>
      </c>
      <c r="F22" s="185"/>
      <c r="G22" s="187"/>
    </row>
    <row r="23" ht="20.25" hidden="1" spans="1:7">
      <c r="A23" s="179" t="s">
        <v>35</v>
      </c>
      <c r="B23" s="179"/>
      <c r="C23" s="179"/>
      <c r="D23" s="179"/>
      <c r="E23" s="179"/>
      <c r="F23" s="179"/>
      <c r="G23" s="32"/>
    </row>
    <row r="24" s="165" customFormat="1" ht="40.5" hidden="1" customHeight="1" spans="1:11">
      <c r="A24" s="145" t="s">
        <v>36</v>
      </c>
      <c r="B24" s="17" t="s">
        <v>37</v>
      </c>
      <c r="C24" s="188" t="s">
        <v>38</v>
      </c>
      <c r="D24" s="180" t="s">
        <v>39</v>
      </c>
      <c r="E24" s="180" t="s">
        <v>40</v>
      </c>
      <c r="F24" s="188" t="s">
        <v>41</v>
      </c>
      <c r="G24" s="188" t="s">
        <v>42</v>
      </c>
      <c r="H24" s="188" t="s">
        <v>43</v>
      </c>
      <c r="I24" s="188" t="s">
        <v>44</v>
      </c>
      <c r="J24" s="188" t="s">
        <v>45</v>
      </c>
      <c r="K24" s="200" t="s">
        <v>46</v>
      </c>
    </row>
    <row r="25" hidden="1" spans="1:11">
      <c r="A25" s="181" t="s">
        <v>47</v>
      </c>
      <c r="B25" s="182" t="str">
        <f>IF(E17&lt;=60000,IF(E17&gt;12000,E17,""),"")</f>
        <v/>
      </c>
      <c r="C25" s="182" t="str">
        <f>IF(E17&lt;=60000,IF(E17&gt;12000,B25*0.8,""),"")</f>
        <v/>
      </c>
      <c r="D25" s="183"/>
      <c r="E25" s="183"/>
      <c r="F25" s="182">
        <f>SUM(C25)</f>
        <v>0</v>
      </c>
      <c r="G25" s="182" t="str">
        <f>IF(D25&gt;1,((1-E25/D25)*0.3+E25/D25)*B25,"")</f>
        <v/>
      </c>
      <c r="H25" s="182" t="str">
        <f>IF(E25&gt;1,((1-E25/D25)*0.6+E25/D25)*B25,"")</f>
        <v/>
      </c>
      <c r="I25" s="182" t="str">
        <f>C25</f>
        <v/>
      </c>
      <c r="J25" s="182" t="str">
        <f>C25</f>
        <v/>
      </c>
      <c r="K25" s="201" t="str">
        <f>C25</f>
        <v/>
      </c>
    </row>
    <row r="26" hidden="1" spans="1:11">
      <c r="A26" s="181" t="s">
        <v>48</v>
      </c>
      <c r="B26" s="182" t="str">
        <f>IF(E17&gt;60000,IF(E17&lt;=240000,E17,""),"")</f>
        <v/>
      </c>
      <c r="C26" s="182" t="str">
        <f>IF(E17&gt;60000,IF(E17&lt;=240000,B26*0.7,""),"")</f>
        <v/>
      </c>
      <c r="D26" s="183"/>
      <c r="E26" s="183"/>
      <c r="F26" s="182">
        <f>SUM(C26)</f>
        <v>0</v>
      </c>
      <c r="G26" s="189" t="str">
        <f>IF(D26&gt;1,((1-E26/D26)*0.3+E26/D26)*B26,"")</f>
        <v/>
      </c>
      <c r="H26" s="189" t="str">
        <f>IF(E26&gt;1,((1-E26/D26)*0.6+E26/D26)*B26,"")</f>
        <v/>
      </c>
      <c r="I26" s="189" t="str">
        <f>C26</f>
        <v/>
      </c>
      <c r="J26" s="182" t="str">
        <f>C26</f>
        <v/>
      </c>
      <c r="K26" s="201" t="str">
        <f>C26</f>
        <v/>
      </c>
    </row>
    <row r="27" hidden="1" spans="1:11">
      <c r="A27" s="190" t="s">
        <v>49</v>
      </c>
      <c r="B27" s="182" t="str">
        <f>IF(E17&gt;240000,E17,"")</f>
        <v/>
      </c>
      <c r="C27" s="182" t="str">
        <f>IF(E17&gt;240000,B27*0.6,"")</f>
        <v/>
      </c>
      <c r="D27" s="186"/>
      <c r="E27" s="186"/>
      <c r="F27" s="182">
        <f>SUM(C27)</f>
        <v>0</v>
      </c>
      <c r="G27" s="182" t="str">
        <f>IF(D27&gt;1,((1-E27/D27)*0.2+E27/D27)*B27,"")</f>
        <v/>
      </c>
      <c r="H27" s="182" t="str">
        <f>IF(E27&gt;1,((1-E27/D27)*0.4+E27/D27)*B27,"")</f>
        <v/>
      </c>
      <c r="I27" s="182" t="str">
        <f>IF(E27&gt;1,((1-E27/D27)*0.6+E27/D27)*B27,"")</f>
        <v/>
      </c>
      <c r="J27" s="182" t="str">
        <f>IF(E27&gt;1,((1-E27/D27)*0.8+E27/D27)*B27,"")</f>
        <v/>
      </c>
      <c r="K27" s="201" t="str">
        <f>C27</f>
        <v/>
      </c>
    </row>
    <row r="28" ht="19.5" hidden="1" customHeight="1" spans="1:11">
      <c r="A28" s="191" t="s">
        <v>50</v>
      </c>
      <c r="B28" s="192"/>
      <c r="C28" s="192"/>
      <c r="D28" s="192"/>
      <c r="E28" s="192"/>
      <c r="F28" s="192"/>
      <c r="G28" s="192"/>
      <c r="H28" s="192"/>
      <c r="I28" s="192"/>
      <c r="J28" s="192"/>
      <c r="K28" s="192"/>
    </row>
    <row r="29" ht="18.75" hidden="1" customHeight="1" spans="1:11">
      <c r="A29" s="193"/>
      <c r="B29" s="193"/>
      <c r="C29" s="193"/>
      <c r="D29" s="193"/>
      <c r="E29" s="193"/>
      <c r="F29" s="193"/>
      <c r="G29" s="193"/>
      <c r="H29" s="193"/>
      <c r="I29" s="193"/>
      <c r="J29" s="193"/>
      <c r="K29" s="193"/>
    </row>
    <row r="30" ht="16.5" hidden="1" customHeight="1" spans="1:11">
      <c r="A30" s="193"/>
      <c r="B30" s="193"/>
      <c r="C30" s="193"/>
      <c r="D30" s="193"/>
      <c r="E30" s="193"/>
      <c r="F30" s="193"/>
      <c r="G30" s="193"/>
      <c r="H30" s="193"/>
      <c r="I30" s="193"/>
      <c r="J30" s="193"/>
      <c r="K30" s="193"/>
    </row>
    <row r="31" s="166" customFormat="1" ht="18.75" customHeight="1" spans="1:1">
      <c r="A31" s="166" t="s">
        <v>51</v>
      </c>
    </row>
    <row r="32" ht="16.5" customHeight="1" spans="1:11">
      <c r="A32" s="194"/>
      <c r="B32" s="194"/>
      <c r="C32" s="193"/>
      <c r="D32" s="193"/>
      <c r="E32" s="193"/>
      <c r="F32" s="193"/>
      <c r="G32" s="193"/>
      <c r="H32" s="193"/>
      <c r="I32" s="193"/>
      <c r="J32" s="193"/>
      <c r="K32" s="193"/>
    </row>
    <row r="33" spans="1:7">
      <c r="A33" s="12" t="s">
        <v>52</v>
      </c>
      <c r="B33" s="154"/>
      <c r="C33" s="154" t="s">
        <v>53</v>
      </c>
      <c r="D33" s="154"/>
      <c r="E33" s="154" t="s">
        <v>54</v>
      </c>
      <c r="F33" s="195"/>
      <c r="G33" s="195"/>
    </row>
  </sheetData>
  <sheetProtection sheet="1" selectLockedCells="1" objects="1"/>
  <mergeCells count="12">
    <mergeCell ref="A1:B1"/>
    <mergeCell ref="A3:F3"/>
    <mergeCell ref="B4:D4"/>
    <mergeCell ref="A18:F18"/>
    <mergeCell ref="A23:F23"/>
    <mergeCell ref="A31:XFD31"/>
    <mergeCell ref="F33:G33"/>
    <mergeCell ref="A4:A5"/>
    <mergeCell ref="E4:E5"/>
    <mergeCell ref="F4:F5"/>
    <mergeCell ref="G4:G5"/>
    <mergeCell ref="A28:K30"/>
  </mergeCells>
  <pageMargins left="0.75" right="0.75" top="1" bottom="1" header="0.5" footer="0.5"/>
  <pageSetup paperSize="9" scale="7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tabColor rgb="FFFF0000"/>
  </sheetPr>
  <dimension ref="A1:H14"/>
  <sheetViews>
    <sheetView workbookViewId="0">
      <selection activeCell="A14" sqref="A14"/>
    </sheetView>
  </sheetViews>
  <sheetFormatPr defaultColWidth="9" defaultRowHeight="14.25" outlineLevelCol="7"/>
  <cols>
    <col min="1" max="1" width="22.375" customWidth="1"/>
    <col min="2" max="2" width="27" customWidth="1"/>
    <col min="3" max="3" width="14.375" customWidth="1"/>
    <col min="4" max="4" width="14.75" customWidth="1"/>
    <col min="5" max="5" width="14.875" customWidth="1"/>
    <col min="7" max="8" width="9" hidden="1" customWidth="1"/>
  </cols>
  <sheetData>
    <row r="1" ht="24.75" customHeight="1" spans="1:5">
      <c r="A1" s="13" t="s">
        <v>172</v>
      </c>
      <c r="B1" s="13"/>
      <c r="C1" s="14"/>
      <c r="D1" s="14"/>
      <c r="E1" s="14"/>
    </row>
    <row r="2" ht="24" customHeight="1" spans="1:5">
      <c r="A2" s="12" t="s">
        <v>102</v>
      </c>
      <c r="B2" s="13"/>
      <c r="C2" s="14"/>
      <c r="D2" s="14"/>
      <c r="E2" s="14"/>
    </row>
    <row r="3" ht="22.5" customHeight="1" spans="1:5">
      <c r="A3" s="15" t="s">
        <v>173</v>
      </c>
      <c r="B3" s="15"/>
      <c r="C3" s="15"/>
      <c r="D3" s="15"/>
      <c r="E3" s="15"/>
    </row>
    <row r="4" ht="27" customHeight="1" spans="1:5">
      <c r="A4" s="16" t="s">
        <v>174</v>
      </c>
      <c r="B4" s="17" t="s">
        <v>4</v>
      </c>
      <c r="C4" s="17"/>
      <c r="D4" s="17" t="s">
        <v>138</v>
      </c>
      <c r="E4" s="18" t="s">
        <v>7</v>
      </c>
    </row>
    <row r="5" ht="21" customHeight="1" spans="1:5">
      <c r="A5" s="19"/>
      <c r="B5" s="20" t="s">
        <v>175</v>
      </c>
      <c r="C5" s="20" t="s">
        <v>106</v>
      </c>
      <c r="D5" s="21"/>
      <c r="E5" s="22"/>
    </row>
    <row r="6" ht="24.6" customHeight="1" spans="1:8">
      <c r="A6" s="23">
        <f>IF(A14&lt;=100,A14,100)</f>
        <v>100</v>
      </c>
      <c r="B6" s="24" t="s">
        <v>176</v>
      </c>
      <c r="C6" s="24">
        <v>1.3</v>
      </c>
      <c r="D6" s="25">
        <f>IFERROR(IF(A6&lt;G6,3000,A6*C6*10),"")</f>
        <v>1300</v>
      </c>
      <c r="E6" s="26" t="s">
        <v>177</v>
      </c>
      <c r="G6">
        <v>100</v>
      </c>
      <c r="H6">
        <f>G6*C6*10</f>
        <v>1300</v>
      </c>
    </row>
    <row r="7" ht="24.6" customHeight="1" spans="1:8">
      <c r="A7" s="23">
        <f>IF(A14&lt;=500,A14-A6,400)</f>
        <v>400</v>
      </c>
      <c r="B7" s="27" t="s">
        <v>178</v>
      </c>
      <c r="C7" s="24">
        <v>1.1</v>
      </c>
      <c r="D7" s="25">
        <f>IFERROR(IF(A7&lt;G7,A7*C7*10,H7),"")</f>
        <v>4400</v>
      </c>
      <c r="E7" s="26"/>
      <c r="G7">
        <v>400</v>
      </c>
      <c r="H7">
        <f t="shared" ref="H7:H12" si="0">G7*C7*10</f>
        <v>4400</v>
      </c>
    </row>
    <row r="8" ht="24.6" customHeight="1" spans="1:8">
      <c r="A8" s="23">
        <f>IF(A14&lt;=1000,A14-A7-A6,500)</f>
        <v>500</v>
      </c>
      <c r="B8" s="27" t="s">
        <v>179</v>
      </c>
      <c r="C8" s="24">
        <v>0.9</v>
      </c>
      <c r="D8" s="25">
        <f t="shared" ref="D8:D12" si="1">IFERROR(IF(A8&lt;G8,A8*C8*10,H8),"")</f>
        <v>4500</v>
      </c>
      <c r="E8" s="26"/>
      <c r="G8">
        <v>500</v>
      </c>
      <c r="H8">
        <f t="shared" si="0"/>
        <v>4500</v>
      </c>
    </row>
    <row r="9" ht="24.6" customHeight="1" spans="1:8">
      <c r="A9" s="23">
        <f>IF(A14&lt;=2000,A14-A8-A7-A6,1000)</f>
        <v>1000</v>
      </c>
      <c r="B9" s="27" t="s">
        <v>180</v>
      </c>
      <c r="C9" s="24">
        <v>0.7</v>
      </c>
      <c r="D9" s="25">
        <f t="shared" si="1"/>
        <v>7000</v>
      </c>
      <c r="E9" s="26"/>
      <c r="G9">
        <v>1000</v>
      </c>
      <c r="H9">
        <f t="shared" si="0"/>
        <v>7000</v>
      </c>
    </row>
    <row r="10" ht="24.6" customHeight="1" spans="1:8">
      <c r="A10" s="23">
        <f>IF(A14&lt;=5000,A14-A9-A8-A7-A6,3000)</f>
        <v>3000</v>
      </c>
      <c r="B10" s="27" t="s">
        <v>181</v>
      </c>
      <c r="C10" s="24">
        <v>0.6</v>
      </c>
      <c r="D10" s="25">
        <f t="shared" si="1"/>
        <v>18000</v>
      </c>
      <c r="E10" s="26"/>
      <c r="G10">
        <v>3000</v>
      </c>
      <c r="H10">
        <f t="shared" si="0"/>
        <v>18000</v>
      </c>
    </row>
    <row r="11" ht="24.6" customHeight="1" spans="1:8">
      <c r="A11" s="23">
        <f>IF(A14&lt;=10000,A14-A10-A9-A8-A7-A6,5000)</f>
        <v>5000</v>
      </c>
      <c r="B11" s="27" t="s">
        <v>182</v>
      </c>
      <c r="C11" s="24">
        <v>0.5</v>
      </c>
      <c r="D11" s="25">
        <f t="shared" si="1"/>
        <v>25000</v>
      </c>
      <c r="E11" s="26"/>
      <c r="G11">
        <v>5000</v>
      </c>
      <c r="H11">
        <f t="shared" si="0"/>
        <v>25000</v>
      </c>
    </row>
    <row r="12" ht="24.6" customHeight="1" spans="1:8">
      <c r="A12" s="23">
        <f>IF(A14&lt;50000,A14-A11-A10-A9-A8-A7-A6,40000)</f>
        <v>40000</v>
      </c>
      <c r="B12" s="27" t="s">
        <v>183</v>
      </c>
      <c r="C12" s="24">
        <v>0.4</v>
      </c>
      <c r="D12" s="25">
        <f t="shared" si="1"/>
        <v>160000</v>
      </c>
      <c r="E12" s="26"/>
      <c r="G12">
        <v>40000</v>
      </c>
      <c r="H12">
        <f t="shared" si="0"/>
        <v>160000</v>
      </c>
    </row>
    <row r="13" ht="24.6" customHeight="1" spans="1:7">
      <c r="A13" s="23">
        <f>IF(A14&gt;50000,A14-50000,0)</f>
        <v>5000</v>
      </c>
      <c r="B13" s="27" t="s">
        <v>184</v>
      </c>
      <c r="C13" s="24">
        <v>0.4</v>
      </c>
      <c r="D13" s="25">
        <f>IFERROR(IF(A13&gt;0,A13*C13*10,0),"")</f>
        <v>20000</v>
      </c>
      <c r="E13" s="26"/>
      <c r="G13" s="38">
        <f>A14-50000</f>
        <v>5000</v>
      </c>
    </row>
    <row r="14" ht="24.6" customHeight="1" spans="1:5">
      <c r="A14" s="28">
        <v>55000</v>
      </c>
      <c r="B14" s="29" t="s">
        <v>185</v>
      </c>
      <c r="C14" s="30" t="s">
        <v>149</v>
      </c>
      <c r="D14" s="31">
        <f>SUM(D6:D13)</f>
        <v>240200</v>
      </c>
      <c r="E14" s="32"/>
    </row>
  </sheetData>
  <sheetProtection sheet="1" selectLockedCells="1" objects="1"/>
  <mergeCells count="6">
    <mergeCell ref="A1:B1"/>
    <mergeCell ref="A3:E3"/>
    <mergeCell ref="B4:C4"/>
    <mergeCell ref="A4:A5"/>
    <mergeCell ref="D4:D5"/>
    <mergeCell ref="E4:E5"/>
  </mergeCells>
  <pageMargins left="0.75" right="0.75" top="1" bottom="1" header="0.5" footer="0.5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>
    <tabColor rgb="FFFF0000"/>
  </sheetPr>
  <dimension ref="A1:H14"/>
  <sheetViews>
    <sheetView topLeftCell="A4" workbookViewId="0">
      <selection activeCell="A14" sqref="A14"/>
    </sheetView>
  </sheetViews>
  <sheetFormatPr defaultColWidth="9" defaultRowHeight="14.25" outlineLevelCol="7"/>
  <cols>
    <col min="1" max="1" width="22.375" customWidth="1"/>
    <col min="2" max="2" width="27" customWidth="1"/>
    <col min="3" max="3" width="14.375" customWidth="1"/>
    <col min="4" max="4" width="14.75" customWidth="1"/>
    <col min="5" max="5" width="14.875" customWidth="1"/>
    <col min="7" max="8" width="9" hidden="1" customWidth="1"/>
  </cols>
  <sheetData>
    <row r="1" ht="24.75" customHeight="1" spans="1:5">
      <c r="A1" s="13" t="s">
        <v>172</v>
      </c>
      <c r="B1" s="13"/>
      <c r="C1" s="14"/>
      <c r="D1" s="14"/>
      <c r="E1" s="14"/>
    </row>
    <row r="2" ht="24" customHeight="1" spans="1:5">
      <c r="A2" s="12" t="s">
        <v>102</v>
      </c>
      <c r="B2" s="13"/>
      <c r="C2" s="14"/>
      <c r="D2" s="14"/>
      <c r="E2" s="14"/>
    </row>
    <row r="3" ht="22.5" customHeight="1" spans="1:5">
      <c r="A3" s="15" t="s">
        <v>186</v>
      </c>
      <c r="B3" s="15"/>
      <c r="C3" s="15"/>
      <c r="D3" s="15"/>
      <c r="E3" s="15"/>
    </row>
    <row r="4" ht="27" customHeight="1" spans="1:5">
      <c r="A4" s="16" t="s">
        <v>187</v>
      </c>
      <c r="B4" s="17" t="s">
        <v>4</v>
      </c>
      <c r="C4" s="17"/>
      <c r="D4" s="17" t="s">
        <v>138</v>
      </c>
      <c r="E4" s="18" t="s">
        <v>7</v>
      </c>
    </row>
    <row r="5" ht="21" customHeight="1" spans="1:5">
      <c r="A5" s="19"/>
      <c r="B5" s="20" t="s">
        <v>188</v>
      </c>
      <c r="C5" s="20" t="s">
        <v>106</v>
      </c>
      <c r="D5" s="21"/>
      <c r="E5" s="22"/>
    </row>
    <row r="6" ht="24.6" customHeight="1" spans="1:8">
      <c r="A6" s="23">
        <f>IF(A14&lt;=100,A14,100)</f>
        <v>100</v>
      </c>
      <c r="B6" s="24" t="s">
        <v>176</v>
      </c>
      <c r="C6" s="24">
        <v>1.7</v>
      </c>
      <c r="D6" s="25">
        <f>IFERROR(IF(A6&lt;G6,3000,A6*C6*10),"")</f>
        <v>1700</v>
      </c>
      <c r="E6" s="26" t="s">
        <v>177</v>
      </c>
      <c r="G6">
        <v>100</v>
      </c>
      <c r="H6">
        <f>G6*C6*10</f>
        <v>1700</v>
      </c>
    </row>
    <row r="7" ht="24.6" customHeight="1" spans="1:8">
      <c r="A7" s="23">
        <f>IF(A14&lt;=500,A14-A6,400)</f>
        <v>400</v>
      </c>
      <c r="B7" s="27" t="s">
        <v>178</v>
      </c>
      <c r="C7" s="24">
        <v>1.5</v>
      </c>
      <c r="D7" s="25">
        <f>IFERROR(IF(A7&lt;G7,A7*C7*10,H7),"")</f>
        <v>6000</v>
      </c>
      <c r="E7" s="26"/>
      <c r="G7">
        <v>400</v>
      </c>
      <c r="H7">
        <f t="shared" ref="H7:H12" si="0">G7*C7*10</f>
        <v>6000</v>
      </c>
    </row>
    <row r="8" ht="24.6" customHeight="1" spans="1:8">
      <c r="A8" s="23">
        <f>IF(A14&lt;=1000,A14-A7-A6,500)</f>
        <v>500</v>
      </c>
      <c r="B8" s="27" t="s">
        <v>179</v>
      </c>
      <c r="C8" s="24">
        <v>1.3</v>
      </c>
      <c r="D8" s="25">
        <f t="shared" ref="D8:D12" si="1">IFERROR(IF(A8&lt;G8,A8*C8*10,H8),"")</f>
        <v>6500</v>
      </c>
      <c r="E8" s="26"/>
      <c r="G8">
        <v>500</v>
      </c>
      <c r="H8">
        <f t="shared" si="0"/>
        <v>6500</v>
      </c>
    </row>
    <row r="9" ht="24.6" customHeight="1" spans="1:8">
      <c r="A9" s="23">
        <f>IF(A14&lt;=2000,A14-A8-A7-A6,1000)</f>
        <v>1000</v>
      </c>
      <c r="B9" s="27" t="s">
        <v>180</v>
      </c>
      <c r="C9" s="24">
        <v>1.1</v>
      </c>
      <c r="D9" s="25">
        <f t="shared" si="1"/>
        <v>11000</v>
      </c>
      <c r="E9" s="26"/>
      <c r="G9">
        <v>1000</v>
      </c>
      <c r="H9">
        <f t="shared" si="0"/>
        <v>11000</v>
      </c>
    </row>
    <row r="10" ht="24.6" customHeight="1" spans="1:8">
      <c r="A10" s="23">
        <f>IF(A14&lt;=5000,A14-A9-A8-A7-A6,3000)</f>
        <v>3000</v>
      </c>
      <c r="B10" s="27" t="s">
        <v>181</v>
      </c>
      <c r="C10" s="24">
        <v>1</v>
      </c>
      <c r="D10" s="25">
        <f t="shared" si="1"/>
        <v>30000</v>
      </c>
      <c r="E10" s="26"/>
      <c r="G10">
        <v>3000</v>
      </c>
      <c r="H10">
        <f t="shared" si="0"/>
        <v>30000</v>
      </c>
    </row>
    <row r="11" ht="24.6" customHeight="1" spans="1:8">
      <c r="A11" s="23">
        <f>IF(A14&lt;=10000,A14-A10-A9-A8-A7-A6,5000)</f>
        <v>5000</v>
      </c>
      <c r="B11" s="27" t="s">
        <v>182</v>
      </c>
      <c r="C11" s="24">
        <v>0.9</v>
      </c>
      <c r="D11" s="25">
        <f t="shared" si="1"/>
        <v>45000</v>
      </c>
      <c r="E11" s="26"/>
      <c r="G11">
        <v>5000</v>
      </c>
      <c r="H11">
        <f t="shared" si="0"/>
        <v>45000</v>
      </c>
    </row>
    <row r="12" ht="24.6" customHeight="1" spans="1:8">
      <c r="A12" s="23">
        <f>IF(A14&lt;50000,A14-A11-A10-A9-A8-A7-A6,40000)</f>
        <v>40000</v>
      </c>
      <c r="B12" s="27" t="s">
        <v>183</v>
      </c>
      <c r="C12" s="24">
        <v>0.8</v>
      </c>
      <c r="D12" s="25">
        <f t="shared" si="1"/>
        <v>320000</v>
      </c>
      <c r="E12" s="26"/>
      <c r="G12">
        <v>40000</v>
      </c>
      <c r="H12">
        <f t="shared" si="0"/>
        <v>320000</v>
      </c>
    </row>
    <row r="13" ht="24.6" customHeight="1" spans="1:7">
      <c r="A13" s="23">
        <f>IF(A14&gt;50000,A14-50000,0)</f>
        <v>5000</v>
      </c>
      <c r="B13" s="27" t="s">
        <v>184</v>
      </c>
      <c r="C13" s="24">
        <v>0.8</v>
      </c>
      <c r="D13" s="25">
        <f>IFERROR(IF(A13&gt;0,A13*C13*10,0),"")</f>
        <v>40000</v>
      </c>
      <c r="E13" s="26"/>
      <c r="G13" s="38">
        <f>A14-50000</f>
        <v>5000</v>
      </c>
    </row>
    <row r="14" ht="24.6" customHeight="1" spans="1:5">
      <c r="A14" s="28">
        <v>55000</v>
      </c>
      <c r="B14" s="29" t="s">
        <v>189</v>
      </c>
      <c r="C14" s="30" t="s">
        <v>149</v>
      </c>
      <c r="D14" s="31">
        <f>SUM(D6:D13)</f>
        <v>460200</v>
      </c>
      <c r="E14" s="32"/>
    </row>
  </sheetData>
  <sheetProtection sheet="1" selectLockedCells="1" objects="1"/>
  <mergeCells count="6">
    <mergeCell ref="A1:B1"/>
    <mergeCell ref="A3:E3"/>
    <mergeCell ref="B4:C4"/>
    <mergeCell ref="A4:A5"/>
    <mergeCell ref="D4:D5"/>
    <mergeCell ref="E4:E5"/>
  </mergeCells>
  <pageMargins left="0.75" right="0.75" top="1" bottom="1" header="0.5" footer="0.5"/>
  <pageSetup paperSize="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tabColor rgb="FFFF0000"/>
  </sheetPr>
  <dimension ref="A1:E16"/>
  <sheetViews>
    <sheetView workbookViewId="0">
      <selection activeCell="B7" sqref="B7"/>
    </sheetView>
  </sheetViews>
  <sheetFormatPr defaultColWidth="9" defaultRowHeight="14.25" outlineLevelCol="4"/>
  <cols>
    <col min="1" max="1" width="22.375" customWidth="1"/>
    <col min="2" max="2" width="27" customWidth="1"/>
    <col min="3" max="3" width="14.375" customWidth="1"/>
    <col min="4" max="4" width="14.75" customWidth="1"/>
    <col min="5" max="5" width="14.875" customWidth="1"/>
  </cols>
  <sheetData>
    <row r="1" ht="24.75" customHeight="1" spans="1:5">
      <c r="A1" s="13" t="s">
        <v>172</v>
      </c>
      <c r="B1" s="13"/>
      <c r="C1" s="14"/>
      <c r="D1" s="14"/>
      <c r="E1" s="14"/>
    </row>
    <row r="2" ht="24" customHeight="1" spans="1:5">
      <c r="A2" s="12" t="s">
        <v>102</v>
      </c>
      <c r="B2" s="13"/>
      <c r="C2" s="14"/>
      <c r="D2" s="14"/>
      <c r="E2" s="14"/>
    </row>
    <row r="3" ht="22.5" customHeight="1" spans="1:5">
      <c r="A3" s="15" t="s">
        <v>186</v>
      </c>
      <c r="B3" s="15"/>
      <c r="C3" s="15"/>
      <c r="D3" s="15"/>
      <c r="E3" s="15"/>
    </row>
    <row r="4" ht="27" customHeight="1" spans="1:5">
      <c r="A4" s="16" t="s">
        <v>187</v>
      </c>
      <c r="B4" s="17" t="s">
        <v>4</v>
      </c>
      <c r="C4" s="17"/>
      <c r="D4" s="17" t="s">
        <v>138</v>
      </c>
      <c r="E4" s="18" t="s">
        <v>7</v>
      </c>
    </row>
    <row r="5" ht="21" customHeight="1" spans="1:5">
      <c r="A5" s="19"/>
      <c r="B5" s="20" t="s">
        <v>188</v>
      </c>
      <c r="C5" s="20" t="s">
        <v>106</v>
      </c>
      <c r="D5" s="21"/>
      <c r="E5" s="22"/>
    </row>
    <row r="6" ht="24.6" customHeight="1" spans="1:5">
      <c r="A6" s="23" t="str">
        <f>IF(A13&gt;0,IF(A13&lt;=100,A13,""),"")</f>
        <v/>
      </c>
      <c r="B6" s="24" t="s">
        <v>190</v>
      </c>
      <c r="C6" s="24">
        <v>1.7</v>
      </c>
      <c r="D6" s="25" t="str">
        <f>IF(A6&lt;=100,2000,IF(A6="","",A6*C6*10))</f>
        <v/>
      </c>
      <c r="E6" s="26" t="s">
        <v>177</v>
      </c>
    </row>
    <row r="7" ht="24.6" customHeight="1" spans="1:5">
      <c r="A7" s="23" t="str">
        <f>IF(A13&gt;100,IF(A13&lt;=500,A13,""),"")</f>
        <v/>
      </c>
      <c r="B7" s="27" t="s">
        <v>191</v>
      </c>
      <c r="C7" s="24">
        <v>1.5</v>
      </c>
      <c r="D7" s="25" t="str">
        <f>IF(A7&lt;=120,2000,IF(A7="","",1700+(A7-100)*C7*10))</f>
        <v/>
      </c>
      <c r="E7" s="26"/>
    </row>
    <row r="8" ht="24.6" customHeight="1" spans="1:5">
      <c r="A8" s="23" t="str">
        <f>IF(A13&gt;500,IF(A13&lt;=1000,A13,""),"")</f>
        <v/>
      </c>
      <c r="B8" s="27" t="s">
        <v>192</v>
      </c>
      <c r="C8" s="24">
        <v>1.3</v>
      </c>
      <c r="D8" s="25" t="str">
        <f>IF(A8="","",7700+(A8-500)*C8*10)</f>
        <v/>
      </c>
      <c r="E8" s="26"/>
    </row>
    <row r="9" ht="24.6" customHeight="1" spans="1:5">
      <c r="A9" s="23" t="str">
        <f>IF(A13&gt;1000,IF(A13&lt;=2000,A13,""),"")</f>
        <v/>
      </c>
      <c r="B9" s="34" t="s">
        <v>193</v>
      </c>
      <c r="C9" s="34">
        <v>1.1</v>
      </c>
      <c r="D9" s="35" t="str">
        <f>IF(A9="","",14200+(A9-1000)*C9*10)</f>
        <v/>
      </c>
      <c r="E9" s="26"/>
    </row>
    <row r="10" ht="24.6" customHeight="1" spans="1:5">
      <c r="A10" s="23" t="str">
        <f>IF(A13&gt;2000,IF(A13&lt;=5000,A13,""),"")</f>
        <v/>
      </c>
      <c r="B10" s="34" t="s">
        <v>194</v>
      </c>
      <c r="C10" s="34">
        <v>1</v>
      </c>
      <c r="D10" s="35" t="str">
        <f>IF(A10="","",25200+(A10-2000)*C10*10)</f>
        <v/>
      </c>
      <c r="E10" s="26"/>
    </row>
    <row r="11" ht="24.6" customHeight="1" spans="1:5">
      <c r="A11" s="23" t="str">
        <f>IF(A13&gt;5000,IF(A13&lt;=10000,A13,""),"")</f>
        <v/>
      </c>
      <c r="B11" s="34" t="s">
        <v>195</v>
      </c>
      <c r="C11" s="34">
        <v>0.9</v>
      </c>
      <c r="D11" s="35" t="str">
        <f>IF(A11="","",55200+(A11-5000)*C11*10)</f>
        <v/>
      </c>
      <c r="E11" s="26"/>
    </row>
    <row r="12" ht="24.6" customHeight="1" spans="1:5">
      <c r="A12" s="23" t="str">
        <f>IF(A13&gt;10000,A13,"")</f>
        <v/>
      </c>
      <c r="B12" s="34" t="s">
        <v>21</v>
      </c>
      <c r="C12" s="34">
        <v>0.8</v>
      </c>
      <c r="D12" s="35" t="str">
        <f>IF(A12="","",100200+(A12-10000)*C12*10)</f>
        <v/>
      </c>
      <c r="E12" s="26"/>
    </row>
    <row r="13" ht="24.6" customHeight="1" spans="1:5">
      <c r="A13" s="28"/>
      <c r="B13" s="29" t="s">
        <v>189</v>
      </c>
      <c r="C13" s="36" t="s">
        <v>149</v>
      </c>
      <c r="D13" s="31">
        <f>SUM(D6:D12)</f>
        <v>0</v>
      </c>
      <c r="E13" s="32"/>
    </row>
    <row r="16" spans="4:5">
      <c r="D16" s="62">
        <v>0.8</v>
      </c>
      <c r="E16" s="63">
        <f>D13*D16</f>
        <v>0</v>
      </c>
    </row>
  </sheetData>
  <mergeCells count="6">
    <mergeCell ref="A1:B1"/>
    <mergeCell ref="A3:E3"/>
    <mergeCell ref="B4:C4"/>
    <mergeCell ref="A4:A5"/>
    <mergeCell ref="D4:D5"/>
    <mergeCell ref="E4:E5"/>
  </mergeCells>
  <pageMargins left="0.75" right="0.75" top="1" bottom="1" header="0.5" footer="0.5"/>
  <pageSetup paperSize="9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>
    <tabColor rgb="FFFF0000"/>
  </sheetPr>
  <dimension ref="A1:H14"/>
  <sheetViews>
    <sheetView topLeftCell="A4" workbookViewId="0">
      <selection activeCell="A14" sqref="A14"/>
    </sheetView>
  </sheetViews>
  <sheetFormatPr defaultColWidth="9" defaultRowHeight="14.25" outlineLevelCol="7"/>
  <cols>
    <col min="1" max="1" width="22.375" customWidth="1"/>
    <col min="2" max="2" width="27" customWidth="1"/>
    <col min="3" max="3" width="14.375" customWidth="1"/>
    <col min="4" max="4" width="14.75" customWidth="1"/>
    <col min="5" max="5" width="14.875" customWidth="1"/>
    <col min="7" max="8" width="9" hidden="1" customWidth="1"/>
  </cols>
  <sheetData>
    <row r="1" ht="24.75" customHeight="1" spans="1:5">
      <c r="A1" s="13" t="s">
        <v>172</v>
      </c>
      <c r="B1" s="13"/>
      <c r="C1" s="14"/>
      <c r="D1" s="14"/>
      <c r="E1" s="14"/>
    </row>
    <row r="2" ht="24" customHeight="1" spans="1:5">
      <c r="A2" s="12" t="s">
        <v>102</v>
      </c>
      <c r="B2" s="13"/>
      <c r="C2" s="14"/>
      <c r="D2" s="14"/>
      <c r="E2" s="14"/>
    </row>
    <row r="3" ht="22.5" customHeight="1" spans="1:5">
      <c r="A3" s="15" t="s">
        <v>196</v>
      </c>
      <c r="B3" s="15"/>
      <c r="C3" s="15"/>
      <c r="D3" s="15"/>
      <c r="E3" s="15"/>
    </row>
    <row r="4" ht="27" customHeight="1" spans="1:5">
      <c r="A4" s="16" t="s">
        <v>197</v>
      </c>
      <c r="B4" s="17" t="s">
        <v>4</v>
      </c>
      <c r="C4" s="17"/>
      <c r="D4" s="17" t="s">
        <v>138</v>
      </c>
      <c r="E4" s="18" t="s">
        <v>7</v>
      </c>
    </row>
    <row r="5" ht="21" customHeight="1" spans="1:5">
      <c r="A5" s="19"/>
      <c r="B5" s="20" t="s">
        <v>198</v>
      </c>
      <c r="C5" s="20" t="s">
        <v>106</v>
      </c>
      <c r="D5" s="21"/>
      <c r="E5" s="22"/>
    </row>
    <row r="6" ht="24.6" customHeight="1" spans="1:8">
      <c r="A6" s="23">
        <f>IF(A14&lt;=100,A14,100)</f>
        <v>100</v>
      </c>
      <c r="B6" s="24" t="s">
        <v>176</v>
      </c>
      <c r="C6" s="24">
        <v>3.3</v>
      </c>
      <c r="D6" s="25">
        <f>IFERROR(IF(A6&lt;G6,3000,A6*C6*10),"")</f>
        <v>3300</v>
      </c>
      <c r="E6" s="26" t="s">
        <v>177</v>
      </c>
      <c r="G6">
        <v>100</v>
      </c>
      <c r="H6">
        <f>G6*C6*10</f>
        <v>3300</v>
      </c>
    </row>
    <row r="7" ht="24.6" customHeight="1" spans="1:8">
      <c r="A7" s="23">
        <f>IF(A14&lt;=500,A14-A6,400)</f>
        <v>400</v>
      </c>
      <c r="B7" s="27" t="s">
        <v>178</v>
      </c>
      <c r="C7" s="24">
        <v>2.8</v>
      </c>
      <c r="D7" s="25">
        <f>IFERROR(IF(A7&lt;G7,A7*C7*10,H7),"")</f>
        <v>11200</v>
      </c>
      <c r="E7" s="26"/>
      <c r="G7">
        <v>400</v>
      </c>
      <c r="H7">
        <f t="shared" ref="H7:H12" si="0">G7*C7*10</f>
        <v>11200</v>
      </c>
    </row>
    <row r="8" ht="24.6" customHeight="1" spans="1:8">
      <c r="A8" s="23">
        <f>IF(A14&lt;=1000,A14-A7-A6,500)</f>
        <v>500</v>
      </c>
      <c r="B8" s="27" t="s">
        <v>179</v>
      </c>
      <c r="C8" s="24">
        <v>2.5</v>
      </c>
      <c r="D8" s="25">
        <f t="shared" ref="D8:D12" si="1">IFERROR(IF(A8&lt;G8,A8*C8*10,H8),"")</f>
        <v>12500</v>
      </c>
      <c r="E8" s="26"/>
      <c r="G8">
        <v>500</v>
      </c>
      <c r="H8">
        <f t="shared" si="0"/>
        <v>12500</v>
      </c>
    </row>
    <row r="9" ht="24.6" customHeight="1" spans="1:8">
      <c r="A9" s="23">
        <f>IF(A14&lt;=2000,A14-A8-A7-A6,1000)</f>
        <v>1000</v>
      </c>
      <c r="B9" s="27" t="s">
        <v>180</v>
      </c>
      <c r="C9" s="24">
        <v>2.3</v>
      </c>
      <c r="D9" s="25">
        <f t="shared" si="1"/>
        <v>23000</v>
      </c>
      <c r="E9" s="26"/>
      <c r="G9">
        <v>1000</v>
      </c>
      <c r="H9">
        <f t="shared" si="0"/>
        <v>23000</v>
      </c>
    </row>
    <row r="10" ht="24.6" customHeight="1" spans="1:8">
      <c r="A10" s="23">
        <f>IF(A14&lt;=5000,A14-A9-A8-A7-A6,3000)</f>
        <v>3000</v>
      </c>
      <c r="B10" s="27" t="s">
        <v>181</v>
      </c>
      <c r="C10" s="24">
        <v>2.1</v>
      </c>
      <c r="D10" s="25">
        <f t="shared" si="1"/>
        <v>63000</v>
      </c>
      <c r="E10" s="26"/>
      <c r="G10">
        <v>3000</v>
      </c>
      <c r="H10">
        <f t="shared" si="0"/>
        <v>63000</v>
      </c>
    </row>
    <row r="11" ht="24.6" customHeight="1" spans="1:8">
      <c r="A11" s="23">
        <f>IF(A14&lt;=10000,A14-A10-A9-A8-A7-A6,5000)</f>
        <v>5000</v>
      </c>
      <c r="B11" s="27" t="s">
        <v>182</v>
      </c>
      <c r="C11" s="24">
        <v>1.9</v>
      </c>
      <c r="D11" s="25">
        <f t="shared" si="1"/>
        <v>95000</v>
      </c>
      <c r="E11" s="26"/>
      <c r="G11">
        <v>5000</v>
      </c>
      <c r="H11">
        <f t="shared" si="0"/>
        <v>95000</v>
      </c>
    </row>
    <row r="12" ht="24.6" customHeight="1" spans="1:8">
      <c r="A12" s="23">
        <f>IF(A14&lt;50000,A14-A11-A10-A9-A8-A7-A6,40000)</f>
        <v>40000</v>
      </c>
      <c r="B12" s="27" t="s">
        <v>183</v>
      </c>
      <c r="C12" s="24">
        <v>1.7</v>
      </c>
      <c r="D12" s="25">
        <f t="shared" si="1"/>
        <v>680000</v>
      </c>
      <c r="E12" s="26"/>
      <c r="G12">
        <v>40000</v>
      </c>
      <c r="H12">
        <f t="shared" si="0"/>
        <v>680000</v>
      </c>
    </row>
    <row r="13" ht="24.6" customHeight="1" spans="1:7">
      <c r="A13" s="23">
        <f>IF(A14&gt;50000,A14-50000,0)</f>
        <v>5000</v>
      </c>
      <c r="B13" s="27" t="s">
        <v>184</v>
      </c>
      <c r="C13" s="24">
        <v>1.6</v>
      </c>
      <c r="D13" s="25">
        <f>IFERROR(IF(A13&gt;0,A13*C13*10,0),"")</f>
        <v>80000</v>
      </c>
      <c r="E13" s="26"/>
      <c r="G13" s="38">
        <f>A14-50000</f>
        <v>5000</v>
      </c>
    </row>
    <row r="14" ht="24.6" customHeight="1" spans="1:5">
      <c r="A14" s="28">
        <v>55000</v>
      </c>
      <c r="B14" s="29" t="s">
        <v>199</v>
      </c>
      <c r="C14" s="30" t="s">
        <v>149</v>
      </c>
      <c r="D14" s="31">
        <f>SUM(D6:D13)</f>
        <v>968000</v>
      </c>
      <c r="E14" s="32"/>
    </row>
  </sheetData>
  <sheetProtection sheet="1" selectLockedCells="1" objects="1"/>
  <mergeCells count="6">
    <mergeCell ref="A1:B1"/>
    <mergeCell ref="A3:E3"/>
    <mergeCell ref="B4:C4"/>
    <mergeCell ref="A4:A5"/>
    <mergeCell ref="D4:D5"/>
    <mergeCell ref="E4:E5"/>
  </mergeCells>
  <pageMargins left="0.75" right="0.75" top="1" bottom="1" header="0.5" footer="0.5"/>
  <pageSetup paperSize="9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tabColor rgb="FFFF0000"/>
  </sheetPr>
  <dimension ref="A1:E14"/>
  <sheetViews>
    <sheetView workbookViewId="0">
      <selection activeCell="C7" sqref="C7"/>
    </sheetView>
  </sheetViews>
  <sheetFormatPr defaultColWidth="9" defaultRowHeight="14.25" outlineLevelCol="4"/>
  <cols>
    <col min="1" max="1" width="22.375" customWidth="1"/>
    <col min="2" max="2" width="27" customWidth="1"/>
    <col min="3" max="3" width="14.375" customWidth="1"/>
    <col min="4" max="4" width="14.75" customWidth="1"/>
    <col min="5" max="5" width="14.875" customWidth="1"/>
  </cols>
  <sheetData>
    <row r="1" ht="24.75" customHeight="1" spans="1:5">
      <c r="A1" s="13" t="s">
        <v>172</v>
      </c>
      <c r="B1" s="13"/>
      <c r="C1" s="14"/>
      <c r="D1" s="14"/>
      <c r="E1" s="14"/>
    </row>
    <row r="2" ht="24" customHeight="1" spans="1:5">
      <c r="A2" s="12" t="s">
        <v>102</v>
      </c>
      <c r="B2" s="13"/>
      <c r="C2" s="14"/>
      <c r="D2" s="14"/>
      <c r="E2" s="14"/>
    </row>
    <row r="3" ht="22.5" customHeight="1" spans="1:5">
      <c r="A3" s="15" t="s">
        <v>196</v>
      </c>
      <c r="B3" s="15"/>
      <c r="C3" s="15"/>
      <c r="D3" s="15"/>
      <c r="E3" s="15"/>
    </row>
    <row r="4" ht="27" customHeight="1" spans="1:5">
      <c r="A4" s="16" t="s">
        <v>197</v>
      </c>
      <c r="B4" s="17" t="s">
        <v>4</v>
      </c>
      <c r="C4" s="17"/>
      <c r="D4" s="17" t="s">
        <v>138</v>
      </c>
      <c r="E4" s="18" t="s">
        <v>7</v>
      </c>
    </row>
    <row r="5" ht="21" customHeight="1" spans="1:5">
      <c r="A5" s="19"/>
      <c r="B5" s="20" t="s">
        <v>198</v>
      </c>
      <c r="C5" s="20" t="s">
        <v>106</v>
      </c>
      <c r="D5" s="21"/>
      <c r="E5" s="22"/>
    </row>
    <row r="6" ht="24.6" customHeight="1" spans="1:5">
      <c r="A6" s="23" t="str">
        <f>IF(A14&gt;0,IF(A14&lt;=100,A14,""),"")</f>
        <v/>
      </c>
      <c r="B6" s="24" t="s">
        <v>190</v>
      </c>
      <c r="C6" s="24">
        <v>3.3</v>
      </c>
      <c r="D6" s="25" t="str">
        <f>IF(A6&lt;=100,3000,IF(A6="","",A6*C6*10))</f>
        <v/>
      </c>
      <c r="E6" s="26" t="s">
        <v>177</v>
      </c>
    </row>
    <row r="7" ht="24.6" customHeight="1" spans="1:5">
      <c r="A7" s="23">
        <f>IF(A14&gt;100,IF(A14&lt;=500,A14,""),"")</f>
        <v>110</v>
      </c>
      <c r="B7" s="27" t="s">
        <v>191</v>
      </c>
      <c r="C7" s="24">
        <v>2.8</v>
      </c>
      <c r="D7" s="25">
        <f>IF(A7="","",3000+(A7-100)*C7*10)</f>
        <v>3280</v>
      </c>
      <c r="E7" s="26"/>
    </row>
    <row r="8" ht="24.6" customHeight="1" spans="1:5">
      <c r="A8" s="23" t="str">
        <f>IF(A14&gt;500,IF(A14&lt;=1000,A14,""),"")</f>
        <v/>
      </c>
      <c r="B8" s="27" t="s">
        <v>192</v>
      </c>
      <c r="C8" s="24">
        <v>2.5</v>
      </c>
      <c r="D8" s="25" t="str">
        <f>IF(A8="","",13000+(A8-500)*C8*10)</f>
        <v/>
      </c>
      <c r="E8" s="26"/>
    </row>
    <row r="9" ht="24.6" customHeight="1" spans="1:5">
      <c r="A9" s="23" t="str">
        <f>IF(A14&gt;1000,IF(A14&lt;=2000,A14,""),"")</f>
        <v/>
      </c>
      <c r="B9" s="34" t="s">
        <v>193</v>
      </c>
      <c r="C9" s="34">
        <v>2.3</v>
      </c>
      <c r="D9" s="35" t="str">
        <f>IF(A9="","",24500+(A9-1000)*C9*10)</f>
        <v/>
      </c>
      <c r="E9" s="26"/>
    </row>
    <row r="10" ht="24.6" customHeight="1" spans="1:5">
      <c r="A10" s="23" t="str">
        <f>IF(A14&gt;2000,IF(A14&lt;=5000,A14,""),"")</f>
        <v/>
      </c>
      <c r="B10" s="34" t="s">
        <v>194</v>
      </c>
      <c r="C10" s="34">
        <v>2.1</v>
      </c>
      <c r="D10" s="35" t="str">
        <f>IF(A10="","",45500+(A10-2000)*C10*10)</f>
        <v/>
      </c>
      <c r="E10" s="26"/>
    </row>
    <row r="11" ht="24.6" customHeight="1" spans="1:5">
      <c r="A11" s="23" t="str">
        <f>IF(A14&gt;5000,IF(A14&lt;=10000,A14,""),"")</f>
        <v/>
      </c>
      <c r="B11" s="34" t="s">
        <v>195</v>
      </c>
      <c r="C11" s="34">
        <v>1.9</v>
      </c>
      <c r="D11" s="35" t="str">
        <f>IF(A11="","",102500+(A11-5000)*C11*10)</f>
        <v/>
      </c>
      <c r="E11" s="26"/>
    </row>
    <row r="12" ht="24.6" customHeight="1" spans="1:5">
      <c r="A12" s="23" t="str">
        <f>IF(A15&gt;10000,IF(A15&lt;=50000,A15,""),"")</f>
        <v/>
      </c>
      <c r="B12" s="34" t="s">
        <v>200</v>
      </c>
      <c r="C12" s="34">
        <v>1.7</v>
      </c>
      <c r="D12" s="35"/>
      <c r="E12" s="26"/>
    </row>
    <row r="13" ht="24.6" customHeight="1" spans="1:5">
      <c r="A13" s="23" t="str">
        <f>IF(A14&gt;50000,A14,"")</f>
        <v/>
      </c>
      <c r="B13" s="34" t="s">
        <v>184</v>
      </c>
      <c r="C13" s="34">
        <v>1.6</v>
      </c>
      <c r="D13" s="35" t="str">
        <f>IF(A13="","",187500+(A13-10000)*C13*10)</f>
        <v/>
      </c>
      <c r="E13" s="26"/>
    </row>
    <row r="14" ht="24.6" customHeight="1" spans="1:5">
      <c r="A14" s="28">
        <v>110</v>
      </c>
      <c r="B14" s="29" t="s">
        <v>199</v>
      </c>
      <c r="C14" s="36" t="s">
        <v>149</v>
      </c>
      <c r="D14" s="31">
        <f>SUM(D6:D13)</f>
        <v>3280</v>
      </c>
      <c r="E14" s="32"/>
    </row>
  </sheetData>
  <mergeCells count="6">
    <mergeCell ref="A1:B1"/>
    <mergeCell ref="A3:E3"/>
    <mergeCell ref="B4:C4"/>
    <mergeCell ref="A4:A5"/>
    <mergeCell ref="D4:D5"/>
    <mergeCell ref="E4:E5"/>
  </mergeCells>
  <pageMargins left="0.75" right="0.75" top="1" bottom="1" header="0.5" footer="0.5"/>
  <pageSetup paperSize="9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>
    <tabColor rgb="FFFF0000"/>
  </sheetPr>
  <dimension ref="A1:H14"/>
  <sheetViews>
    <sheetView topLeftCell="A4" workbookViewId="0">
      <selection activeCell="A14" sqref="A14"/>
    </sheetView>
  </sheetViews>
  <sheetFormatPr defaultColWidth="9" defaultRowHeight="14.25" outlineLevelCol="7"/>
  <cols>
    <col min="1" max="1" width="22.375" customWidth="1"/>
    <col min="2" max="2" width="27" customWidth="1"/>
    <col min="3" max="3" width="14.375" customWidth="1"/>
    <col min="4" max="4" width="14.75" customWidth="1"/>
    <col min="5" max="5" width="14.875" customWidth="1"/>
    <col min="7" max="8" width="9" hidden="1" customWidth="1"/>
  </cols>
  <sheetData>
    <row r="1" ht="24.75" customHeight="1" spans="1:5">
      <c r="A1" s="13" t="s">
        <v>172</v>
      </c>
      <c r="B1" s="13"/>
      <c r="C1" s="14"/>
      <c r="D1" s="14"/>
      <c r="E1" s="14"/>
    </row>
    <row r="2" ht="24" customHeight="1" spans="1:5">
      <c r="A2" s="12" t="s">
        <v>102</v>
      </c>
      <c r="B2" s="13"/>
      <c r="C2" s="14"/>
      <c r="D2" s="14"/>
      <c r="E2" s="14"/>
    </row>
    <row r="3" ht="22.5" customHeight="1" spans="1:5">
      <c r="A3" s="15" t="s">
        <v>201</v>
      </c>
      <c r="B3" s="15"/>
      <c r="C3" s="15"/>
      <c r="D3" s="15"/>
      <c r="E3" s="15"/>
    </row>
    <row r="4" ht="27" customHeight="1" spans="1:5">
      <c r="A4" s="16" t="s">
        <v>197</v>
      </c>
      <c r="B4" s="17" t="s">
        <v>4</v>
      </c>
      <c r="C4" s="17"/>
      <c r="D4" s="17" t="s">
        <v>138</v>
      </c>
      <c r="E4" s="18" t="s">
        <v>7</v>
      </c>
    </row>
    <row r="5" ht="21" customHeight="1" spans="1:5">
      <c r="A5" s="19"/>
      <c r="B5" s="20" t="s">
        <v>198</v>
      </c>
      <c r="C5" s="20" t="s">
        <v>106</v>
      </c>
      <c r="D5" s="21"/>
      <c r="E5" s="22"/>
    </row>
    <row r="6" ht="24.6" customHeight="1" spans="1:8">
      <c r="A6" s="23">
        <f>IF(A14&lt;=100,A14,100)</f>
        <v>100</v>
      </c>
      <c r="B6" s="24" t="s">
        <v>176</v>
      </c>
      <c r="C6" s="24">
        <v>4</v>
      </c>
      <c r="D6" s="25">
        <f>IFERROR(IF(A6&lt;G6,3000,A6*C6*10),"")</f>
        <v>4000</v>
      </c>
      <c r="E6" s="26" t="s">
        <v>177</v>
      </c>
      <c r="G6">
        <v>100</v>
      </c>
      <c r="H6">
        <f>G6*C6*10</f>
        <v>4000</v>
      </c>
    </row>
    <row r="7" ht="24.6" customHeight="1" spans="1:8">
      <c r="A7" s="23">
        <f>IF(A14&lt;=500,A14-A6,400)</f>
        <v>400</v>
      </c>
      <c r="B7" s="27" t="s">
        <v>178</v>
      </c>
      <c r="C7" s="24">
        <v>3.6</v>
      </c>
      <c r="D7" s="25">
        <f>IFERROR(IF(A7&lt;G7,A7*C7*10,H7),"")</f>
        <v>14400</v>
      </c>
      <c r="E7" s="26"/>
      <c r="G7">
        <v>400</v>
      </c>
      <c r="H7">
        <f t="shared" ref="H7:H12" si="0">G7*C7*10</f>
        <v>14400</v>
      </c>
    </row>
    <row r="8" ht="24.6" customHeight="1" spans="1:8">
      <c r="A8" s="23">
        <f>IF(A14&lt;=1000,A14-A7-A6,500)</f>
        <v>500</v>
      </c>
      <c r="B8" s="27" t="s">
        <v>179</v>
      </c>
      <c r="C8" s="24">
        <v>3.3</v>
      </c>
      <c r="D8" s="25">
        <f t="shared" ref="D8:D12" si="1">IFERROR(IF(A8&lt;G8,A8*C8*10,H8),"")</f>
        <v>16500</v>
      </c>
      <c r="E8" s="26"/>
      <c r="G8">
        <v>500</v>
      </c>
      <c r="H8">
        <f t="shared" si="0"/>
        <v>16500</v>
      </c>
    </row>
    <row r="9" ht="24.6" customHeight="1" spans="1:8">
      <c r="A9" s="23">
        <f>IF(A14&lt;=2000,A14-A8-A7-A6,1000)</f>
        <v>1000</v>
      </c>
      <c r="B9" s="27" t="s">
        <v>180</v>
      </c>
      <c r="C9" s="24">
        <v>3</v>
      </c>
      <c r="D9" s="25">
        <f t="shared" si="1"/>
        <v>30000</v>
      </c>
      <c r="E9" s="26"/>
      <c r="G9">
        <v>1000</v>
      </c>
      <c r="H9">
        <f t="shared" si="0"/>
        <v>30000</v>
      </c>
    </row>
    <row r="10" ht="24.6" customHeight="1" spans="1:8">
      <c r="A10" s="23">
        <f>IF(A14&lt;=5000,A14-A9-A8-A7-A6,3000)</f>
        <v>3000</v>
      </c>
      <c r="B10" s="27" t="s">
        <v>181</v>
      </c>
      <c r="C10" s="24">
        <v>2.6</v>
      </c>
      <c r="D10" s="25">
        <f t="shared" si="1"/>
        <v>78000</v>
      </c>
      <c r="E10" s="26"/>
      <c r="G10">
        <v>3000</v>
      </c>
      <c r="H10">
        <f t="shared" si="0"/>
        <v>78000</v>
      </c>
    </row>
    <row r="11" ht="24.6" customHeight="1" spans="1:8">
      <c r="A11" s="23">
        <f>IF(A14&lt;=10000,A14-A10-A9-A8-A7-A6,5000)</f>
        <v>5000</v>
      </c>
      <c r="B11" s="27" t="s">
        <v>182</v>
      </c>
      <c r="C11" s="24">
        <v>2.3</v>
      </c>
      <c r="D11" s="25">
        <f t="shared" si="1"/>
        <v>115000</v>
      </c>
      <c r="E11" s="26"/>
      <c r="G11">
        <v>5000</v>
      </c>
      <c r="H11">
        <f t="shared" si="0"/>
        <v>115000</v>
      </c>
    </row>
    <row r="12" ht="24.6" customHeight="1" spans="1:8">
      <c r="A12" s="23">
        <f>IF(A14&lt;50000,A14-A11-A10-A9-A8-A7-A6,40000)</f>
        <v>40000</v>
      </c>
      <c r="B12" s="27" t="s">
        <v>183</v>
      </c>
      <c r="C12" s="24">
        <v>2</v>
      </c>
      <c r="D12" s="25">
        <f t="shared" si="1"/>
        <v>800000</v>
      </c>
      <c r="E12" s="26"/>
      <c r="G12">
        <v>40000</v>
      </c>
      <c r="H12">
        <f t="shared" si="0"/>
        <v>800000</v>
      </c>
    </row>
    <row r="13" ht="24.6" customHeight="1" spans="1:7">
      <c r="A13" s="23">
        <f>IF(A14&gt;50000,A14-50000,0)</f>
        <v>5000</v>
      </c>
      <c r="B13" s="27" t="s">
        <v>184</v>
      </c>
      <c r="C13" s="24">
        <v>1.9</v>
      </c>
      <c r="D13" s="25">
        <f>IFERROR(IF(A13&gt;0,A13*C13*10,0),"")</f>
        <v>95000</v>
      </c>
      <c r="E13" s="26"/>
      <c r="G13" s="38">
        <f>A14-50000</f>
        <v>5000</v>
      </c>
    </row>
    <row r="14" ht="24.6" customHeight="1" spans="1:5">
      <c r="A14" s="28">
        <v>55000</v>
      </c>
      <c r="B14" s="29" t="s">
        <v>199</v>
      </c>
      <c r="C14" s="30" t="s">
        <v>149</v>
      </c>
      <c r="D14" s="31">
        <f>SUM(D6:D13)</f>
        <v>1152900</v>
      </c>
      <c r="E14" s="32"/>
    </row>
  </sheetData>
  <sheetProtection sheet="1" selectLockedCells="1" objects="1"/>
  <mergeCells count="6">
    <mergeCell ref="A1:B1"/>
    <mergeCell ref="A3:E3"/>
    <mergeCell ref="B4:C4"/>
    <mergeCell ref="A4:A5"/>
    <mergeCell ref="D4:D5"/>
    <mergeCell ref="E4:E5"/>
  </mergeCells>
  <pageMargins left="0.75" right="0.75" top="1" bottom="1" header="0.5" footer="0.5"/>
  <pageSetup paperSize="9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tabColor rgb="FFFF0000"/>
  </sheetPr>
  <dimension ref="A1:E13"/>
  <sheetViews>
    <sheetView workbookViewId="0">
      <selection activeCell="C8" sqref="C8"/>
    </sheetView>
  </sheetViews>
  <sheetFormatPr defaultColWidth="9" defaultRowHeight="14.25" outlineLevelCol="4"/>
  <cols>
    <col min="1" max="1" width="22.375" customWidth="1"/>
    <col min="2" max="2" width="27" customWidth="1"/>
    <col min="3" max="3" width="14.375" customWidth="1"/>
    <col min="4" max="4" width="14.75" customWidth="1"/>
    <col min="5" max="5" width="14.875" customWidth="1"/>
  </cols>
  <sheetData>
    <row r="1" ht="24.75" customHeight="1" spans="1:5">
      <c r="A1" s="13" t="s">
        <v>172</v>
      </c>
      <c r="B1" s="13"/>
      <c r="C1" s="14"/>
      <c r="D1" s="14"/>
      <c r="E1" s="14"/>
    </row>
    <row r="2" ht="24" customHeight="1" spans="1:5">
      <c r="A2" s="12" t="s">
        <v>102</v>
      </c>
      <c r="B2" s="13"/>
      <c r="C2" s="14"/>
      <c r="D2" s="14"/>
      <c r="E2" s="14"/>
    </row>
    <row r="3" ht="22.5" customHeight="1" spans="1:5">
      <c r="A3" s="15" t="s">
        <v>202</v>
      </c>
      <c r="B3" s="15"/>
      <c r="C3" s="15"/>
      <c r="D3" s="15"/>
      <c r="E3" s="15"/>
    </row>
    <row r="4" ht="27" customHeight="1" spans="1:5">
      <c r="A4" s="16" t="s">
        <v>197</v>
      </c>
      <c r="B4" s="17" t="s">
        <v>4</v>
      </c>
      <c r="C4" s="17"/>
      <c r="D4" s="17" t="s">
        <v>138</v>
      </c>
      <c r="E4" s="18" t="s">
        <v>7</v>
      </c>
    </row>
    <row r="5" ht="21" customHeight="1" spans="1:5">
      <c r="A5" s="19"/>
      <c r="B5" s="20" t="s">
        <v>198</v>
      </c>
      <c r="C5" s="20" t="s">
        <v>106</v>
      </c>
      <c r="D5" s="21"/>
      <c r="E5" s="22"/>
    </row>
    <row r="6" ht="24.6" customHeight="1" spans="1:5">
      <c r="A6" s="23" t="str">
        <f>IF(A13&gt;0,IF(A13&lt;=100,A13,""),"")</f>
        <v/>
      </c>
      <c r="B6" s="24" t="s">
        <v>190</v>
      </c>
      <c r="C6" s="24">
        <v>4</v>
      </c>
      <c r="D6" s="25" t="str">
        <f>IF(A6&lt;=68.97,2000,IF(A6="","",A6*C6*10))</f>
        <v/>
      </c>
      <c r="E6" s="26" t="s">
        <v>177</v>
      </c>
    </row>
    <row r="7" ht="24.6" customHeight="1" spans="1:5">
      <c r="A7" s="23" t="str">
        <f>IF(A13&gt;100,IF(A13&lt;=500,A13,""),"")</f>
        <v/>
      </c>
      <c r="B7" s="27" t="s">
        <v>191</v>
      </c>
      <c r="C7" s="24">
        <v>3.6</v>
      </c>
      <c r="D7" s="25" t="str">
        <f>IF(A7="","",2900+(A7-100)*C7*10)</f>
        <v/>
      </c>
      <c r="E7" s="26"/>
    </row>
    <row r="8" ht="24.6" customHeight="1" spans="1:5">
      <c r="A8" s="23" t="str">
        <f>IF(A13&gt;500,IF(A13&lt;=1000,A13,""),"")</f>
        <v/>
      </c>
      <c r="B8" s="27" t="s">
        <v>192</v>
      </c>
      <c r="C8" s="24">
        <v>3.3</v>
      </c>
      <c r="D8" s="25" t="str">
        <f>IF(A8="","",13700+(A8-500)*C8*10)</f>
        <v/>
      </c>
      <c r="E8" s="26"/>
    </row>
    <row r="9" ht="24.6" customHeight="1" spans="1:5">
      <c r="A9" s="23" t="str">
        <f>IF(A13&gt;1000,IF(A13&lt;=2000,A13,""),"")</f>
        <v/>
      </c>
      <c r="B9" s="34" t="s">
        <v>193</v>
      </c>
      <c r="C9" s="34">
        <v>3</v>
      </c>
      <c r="D9" s="35" t="str">
        <f>IF(A9="","",26200+(A9-1000)*C9*10)</f>
        <v/>
      </c>
      <c r="E9" s="26"/>
    </row>
    <row r="10" ht="24.6" customHeight="1" spans="1:5">
      <c r="A10" s="23" t="str">
        <f>IF(A13&gt;2000,IF(A13&lt;=5000,A13,""),"")</f>
        <v/>
      </c>
      <c r="B10" s="34" t="s">
        <v>194</v>
      </c>
      <c r="C10" s="34">
        <v>2.6</v>
      </c>
      <c r="D10" s="35" t="str">
        <f>IF(A10="","",49200+(A10-2000)*C10*10)</f>
        <v/>
      </c>
      <c r="E10" s="26"/>
    </row>
    <row r="11" ht="24.6" customHeight="1" spans="1:5">
      <c r="A11" s="23" t="str">
        <f>IF(A13&gt;5000,IF(A13&lt;=10000,A13,""),"")</f>
        <v/>
      </c>
      <c r="B11" s="34" t="s">
        <v>195</v>
      </c>
      <c r="C11" s="34">
        <v>2.3</v>
      </c>
      <c r="D11" s="35" t="str">
        <f>IF(A11="","",112200+(A11-5000)*C11*10)</f>
        <v/>
      </c>
      <c r="E11" s="26"/>
    </row>
    <row r="12" s="39" customFormat="1" ht="24.6" customHeight="1" spans="1:5">
      <c r="A12" s="40" t="str">
        <f>IF(A13&gt;10000,A13,"")</f>
        <v/>
      </c>
      <c r="B12" s="41" t="s">
        <v>21</v>
      </c>
      <c r="C12" s="41">
        <v>1.7</v>
      </c>
      <c r="D12" s="42" t="str">
        <f>IF(A12="","",207200+(A12-10000)*C12*10)</f>
        <v/>
      </c>
      <c r="E12" s="43"/>
    </row>
    <row r="13" ht="24.6" customHeight="1" spans="1:5">
      <c r="A13" s="28"/>
      <c r="B13" s="29" t="s">
        <v>199</v>
      </c>
      <c r="C13" s="36" t="s">
        <v>149</v>
      </c>
      <c r="D13" s="31">
        <f>SUM(D6:D12)</f>
        <v>0</v>
      </c>
      <c r="E13" s="32"/>
    </row>
  </sheetData>
  <mergeCells count="6">
    <mergeCell ref="A1:B1"/>
    <mergeCell ref="A3:E3"/>
    <mergeCell ref="B4:C4"/>
    <mergeCell ref="A4:A5"/>
    <mergeCell ref="D4:D5"/>
    <mergeCell ref="E4:E5"/>
  </mergeCells>
  <pageMargins left="0.75" right="0.75" top="1" bottom="1" header="0.5" footer="0.5"/>
  <pageSetup paperSize="9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>
    <tabColor rgb="FFFF0000"/>
  </sheetPr>
  <dimension ref="A1:H14"/>
  <sheetViews>
    <sheetView topLeftCell="A4" workbookViewId="0">
      <selection activeCell="A14" sqref="A14"/>
    </sheetView>
  </sheetViews>
  <sheetFormatPr defaultColWidth="9" defaultRowHeight="14.25" outlineLevelCol="7"/>
  <cols>
    <col min="1" max="1" width="22.375" customWidth="1"/>
    <col min="2" max="2" width="27" customWidth="1"/>
    <col min="3" max="3" width="14.375" customWidth="1"/>
    <col min="4" max="4" width="14.75" customWidth="1"/>
    <col min="5" max="5" width="14.875" customWidth="1"/>
    <col min="7" max="7" width="8.625" hidden="1" customWidth="1"/>
    <col min="8" max="8" width="9" hidden="1" customWidth="1"/>
  </cols>
  <sheetData>
    <row r="1" ht="24.75" customHeight="1" spans="1:5">
      <c r="A1" s="13" t="s">
        <v>172</v>
      </c>
      <c r="B1" s="13"/>
      <c r="C1" s="14"/>
      <c r="D1" s="14"/>
      <c r="E1" s="14"/>
    </row>
    <row r="2" ht="24" customHeight="1" spans="1:5">
      <c r="A2" s="12" t="s">
        <v>102</v>
      </c>
      <c r="B2" s="13"/>
      <c r="C2" s="14"/>
      <c r="D2" s="14"/>
      <c r="E2" s="14"/>
    </row>
    <row r="3" ht="22.5" customHeight="1" spans="1:5">
      <c r="A3" s="15" t="s">
        <v>203</v>
      </c>
      <c r="B3" s="15"/>
      <c r="C3" s="15"/>
      <c r="D3" s="15"/>
      <c r="E3" s="15"/>
    </row>
    <row r="4" ht="27" customHeight="1" spans="1:5">
      <c r="A4" s="16" t="s">
        <v>197</v>
      </c>
      <c r="B4" s="17" t="s">
        <v>4</v>
      </c>
      <c r="C4" s="17"/>
      <c r="D4" s="17" t="s">
        <v>138</v>
      </c>
      <c r="E4" s="18" t="s">
        <v>7</v>
      </c>
    </row>
    <row r="5" ht="21" customHeight="1" spans="1:5">
      <c r="A5" s="19"/>
      <c r="B5" s="20" t="s">
        <v>198</v>
      </c>
      <c r="C5" s="20" t="s">
        <v>106</v>
      </c>
      <c r="D5" s="21"/>
      <c r="E5" s="22"/>
    </row>
    <row r="6" ht="24.6" customHeight="1" spans="1:8">
      <c r="A6" s="23">
        <f>IF(A14&lt;=100,A14,100)</f>
        <v>100</v>
      </c>
      <c r="B6" s="24" t="s">
        <v>176</v>
      </c>
      <c r="C6" s="24">
        <v>3.3</v>
      </c>
      <c r="D6" s="25">
        <f>IFERROR(IF(A6&lt;G6,3000,A6*C6*10),"")</f>
        <v>3300</v>
      </c>
      <c r="E6" s="26" t="s">
        <v>177</v>
      </c>
      <c r="G6">
        <v>100</v>
      </c>
      <c r="H6">
        <f>G6*C6*10</f>
        <v>3300</v>
      </c>
    </row>
    <row r="7" ht="24.6" customHeight="1" spans="1:8">
      <c r="A7" s="23">
        <f>IF(A14&lt;=500,A14-A6,400)</f>
        <v>400</v>
      </c>
      <c r="B7" s="27" t="s">
        <v>178</v>
      </c>
      <c r="C7" s="24">
        <v>2.9</v>
      </c>
      <c r="D7" s="25">
        <f>IFERROR(IF(A7&lt;G7,A7*C7*10,H7),"")</f>
        <v>11600</v>
      </c>
      <c r="E7" s="26"/>
      <c r="G7">
        <v>400</v>
      </c>
      <c r="H7">
        <f t="shared" ref="H7:H12" si="0">G7*C7*10</f>
        <v>11600</v>
      </c>
    </row>
    <row r="8" ht="24.6" customHeight="1" spans="1:8">
      <c r="A8" s="23">
        <f>IF(A14&lt;=1000,A14-A7-A6,500)</f>
        <v>500</v>
      </c>
      <c r="B8" s="27" t="s">
        <v>179</v>
      </c>
      <c r="C8" s="24">
        <v>2.5</v>
      </c>
      <c r="D8" s="25">
        <f t="shared" ref="D8:D12" si="1">IFERROR(IF(A8&lt;G8,A8*C8*10,H8),"")</f>
        <v>12500</v>
      </c>
      <c r="E8" s="26"/>
      <c r="G8">
        <v>500</v>
      </c>
      <c r="H8">
        <f t="shared" si="0"/>
        <v>12500</v>
      </c>
    </row>
    <row r="9" ht="24.6" customHeight="1" spans="1:8">
      <c r="A9" s="23">
        <f>IF(A14&lt;=2000,A14-A8-A7-A6,1000)</f>
        <v>1000</v>
      </c>
      <c r="B9" s="27" t="s">
        <v>180</v>
      </c>
      <c r="C9" s="24">
        <v>2.1</v>
      </c>
      <c r="D9" s="25">
        <f t="shared" si="1"/>
        <v>21000</v>
      </c>
      <c r="E9" s="26"/>
      <c r="G9">
        <v>1000</v>
      </c>
      <c r="H9">
        <f t="shared" si="0"/>
        <v>21000</v>
      </c>
    </row>
    <row r="10" ht="24.6" customHeight="1" spans="1:8">
      <c r="A10" s="23">
        <f>IF(A14&lt;=5000,A14-A9-A8-A7-A6,3000)</f>
        <v>3000</v>
      </c>
      <c r="B10" s="27" t="s">
        <v>181</v>
      </c>
      <c r="C10" s="24">
        <v>2.1</v>
      </c>
      <c r="D10" s="25">
        <f t="shared" si="1"/>
        <v>63000</v>
      </c>
      <c r="E10" s="26"/>
      <c r="G10">
        <v>3000</v>
      </c>
      <c r="H10">
        <f t="shared" si="0"/>
        <v>63000</v>
      </c>
    </row>
    <row r="11" ht="24.6" customHeight="1" spans="1:8">
      <c r="A11" s="23">
        <f>IF(A14&lt;=10000,A14-A10-A9-A8-A7-A6,5000)</f>
        <v>5000</v>
      </c>
      <c r="B11" s="27" t="s">
        <v>182</v>
      </c>
      <c r="C11" s="24">
        <v>1.7</v>
      </c>
      <c r="D11" s="25">
        <f t="shared" si="1"/>
        <v>85000</v>
      </c>
      <c r="E11" s="26"/>
      <c r="G11">
        <v>5000</v>
      </c>
      <c r="H11">
        <f t="shared" si="0"/>
        <v>85000</v>
      </c>
    </row>
    <row r="12" ht="24.6" customHeight="1" spans="1:8">
      <c r="A12" s="23">
        <f>IF(A14&lt;50000,A14-A11-A10-A9-A8-A7-A6,40000)</f>
        <v>40000</v>
      </c>
      <c r="B12" s="27" t="s">
        <v>183</v>
      </c>
      <c r="C12" s="24">
        <v>0.9</v>
      </c>
      <c r="D12" s="25">
        <f t="shared" si="1"/>
        <v>360000</v>
      </c>
      <c r="E12" s="26"/>
      <c r="G12">
        <v>40000</v>
      </c>
      <c r="H12">
        <f t="shared" si="0"/>
        <v>360000</v>
      </c>
    </row>
    <row r="13" ht="24.6" customHeight="1" spans="1:7">
      <c r="A13" s="23">
        <f>IF(A14&gt;50000,A14-50000,0)</f>
        <v>5000</v>
      </c>
      <c r="B13" s="27" t="s">
        <v>184</v>
      </c>
      <c r="C13" s="24">
        <v>0.9</v>
      </c>
      <c r="D13" s="25">
        <f>IFERROR(IF(A13&gt;0,A13*C13*10,0),"")</f>
        <v>45000</v>
      </c>
      <c r="E13" s="26"/>
      <c r="G13" s="38">
        <f>A14-50000</f>
        <v>5000</v>
      </c>
    </row>
    <row r="14" ht="24.6" customHeight="1" spans="1:5">
      <c r="A14" s="28">
        <v>55000</v>
      </c>
      <c r="B14" s="29" t="s">
        <v>199</v>
      </c>
      <c r="C14" s="30" t="s">
        <v>149</v>
      </c>
      <c r="D14" s="31">
        <f>SUM(D6:D13)</f>
        <v>601400</v>
      </c>
      <c r="E14" s="32"/>
    </row>
  </sheetData>
  <sheetProtection sheet="1" selectLockedCells="1" objects="1"/>
  <mergeCells count="6">
    <mergeCell ref="A1:B1"/>
    <mergeCell ref="A3:E3"/>
    <mergeCell ref="B4:C4"/>
    <mergeCell ref="A4:A5"/>
    <mergeCell ref="D4:D5"/>
    <mergeCell ref="E4:E5"/>
  </mergeCells>
  <pageMargins left="0.75" right="0.75" top="1" bottom="1" header="0.5" footer="0.5"/>
  <pageSetup paperSize="9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tabColor rgb="FFFF0000"/>
  </sheetPr>
  <dimension ref="A1:E13"/>
  <sheetViews>
    <sheetView topLeftCell="A2" workbookViewId="0">
      <selection activeCell="D7" sqref="D7"/>
    </sheetView>
  </sheetViews>
  <sheetFormatPr defaultColWidth="9" defaultRowHeight="14.25" outlineLevelCol="4"/>
  <cols>
    <col min="1" max="1" width="22.375" customWidth="1"/>
    <col min="2" max="2" width="27" customWidth="1"/>
    <col min="3" max="3" width="14.375" customWidth="1"/>
    <col min="4" max="4" width="14.75" customWidth="1"/>
    <col min="5" max="5" width="14.875" customWidth="1"/>
  </cols>
  <sheetData>
    <row r="1" ht="24.75" customHeight="1" spans="1:5">
      <c r="A1" s="13" t="s">
        <v>172</v>
      </c>
      <c r="B1" s="13"/>
      <c r="C1" s="14"/>
      <c r="D1" s="14"/>
      <c r="E1" s="14"/>
    </row>
    <row r="2" ht="24" customHeight="1" spans="1:5">
      <c r="A2" s="12" t="s">
        <v>102</v>
      </c>
      <c r="B2" s="13"/>
      <c r="C2" s="14"/>
      <c r="D2" s="14"/>
      <c r="E2" s="14"/>
    </row>
    <row r="3" ht="22.5" customHeight="1" spans="1:5">
      <c r="A3" s="15" t="s">
        <v>203</v>
      </c>
      <c r="B3" s="15"/>
      <c r="C3" s="15"/>
      <c r="D3" s="15"/>
      <c r="E3" s="15"/>
    </row>
    <row r="4" ht="27" customHeight="1" spans="1:5">
      <c r="A4" s="16" t="s">
        <v>197</v>
      </c>
      <c r="B4" s="17" t="s">
        <v>4</v>
      </c>
      <c r="C4" s="17"/>
      <c r="D4" s="17" t="s">
        <v>138</v>
      </c>
      <c r="E4" s="18" t="s">
        <v>7</v>
      </c>
    </row>
    <row r="5" ht="21" customHeight="1" spans="1:5">
      <c r="A5" s="19"/>
      <c r="B5" s="20" t="s">
        <v>198</v>
      </c>
      <c r="C5" s="20" t="s">
        <v>106</v>
      </c>
      <c r="D5" s="21"/>
      <c r="E5" s="22"/>
    </row>
    <row r="6" ht="24.6" customHeight="1" spans="1:5">
      <c r="A6" s="23" t="str">
        <f>IF(A13&gt;0,IF(A13&lt;=100,A13,""),"")</f>
        <v/>
      </c>
      <c r="B6" s="24" t="s">
        <v>190</v>
      </c>
      <c r="C6" s="24">
        <v>3.3</v>
      </c>
      <c r="D6" s="25" t="str">
        <f>IF(A6&lt;=80,2000,IF(A6="","",A6*C6*10))</f>
        <v/>
      </c>
      <c r="E6" s="26" t="s">
        <v>177</v>
      </c>
    </row>
    <row r="7" ht="24.6" customHeight="1" spans="1:5">
      <c r="A7" s="23" t="str">
        <f>IF(A13&gt;100,IF(A13&lt;=500,A13,""),"")</f>
        <v/>
      </c>
      <c r="B7" s="27" t="s">
        <v>191</v>
      </c>
      <c r="C7" s="24">
        <v>2.9</v>
      </c>
      <c r="D7" s="25" t="str">
        <f>IF(A7="","",2500+(A7-100)*C7*10)</f>
        <v/>
      </c>
      <c r="E7" s="26"/>
    </row>
    <row r="8" ht="24.6" customHeight="1" spans="1:5">
      <c r="A8" s="23" t="str">
        <f>IF(A13&gt;500,IF(A13&lt;=1000,A13,""),"")</f>
        <v/>
      </c>
      <c r="B8" s="27" t="s">
        <v>192</v>
      </c>
      <c r="C8" s="24">
        <v>2.5</v>
      </c>
      <c r="D8" s="25" t="str">
        <f>IF(A8="","",11300+(A8-500)*C8*10)</f>
        <v/>
      </c>
      <c r="E8" s="26"/>
    </row>
    <row r="9" ht="24.6" customHeight="1" spans="1:5">
      <c r="A9" s="23" t="str">
        <f>IF(A13&gt;1000,IF(A13&lt;=2000,A13,""),"")</f>
        <v/>
      </c>
      <c r="B9" s="34" t="s">
        <v>193</v>
      </c>
      <c r="C9" s="34">
        <v>2.1</v>
      </c>
      <c r="D9" s="35" t="str">
        <f>IF(A9="","",20800+(A9-1000)*C9*10)</f>
        <v/>
      </c>
      <c r="E9" s="26"/>
    </row>
    <row r="10" ht="24.6" customHeight="1" spans="1:5">
      <c r="A10" s="23" t="str">
        <f>IF(A13&gt;2000,IF(A13&lt;=5000,A13,""),"")</f>
        <v/>
      </c>
      <c r="B10" s="34" t="s">
        <v>194</v>
      </c>
      <c r="C10" s="34">
        <v>2.1</v>
      </c>
      <c r="D10" s="35" t="str">
        <f>IF(A10="","",36800+(A10-2000)*C10*10)</f>
        <v/>
      </c>
      <c r="E10" s="26"/>
    </row>
    <row r="11" ht="24.6" customHeight="1" spans="1:5">
      <c r="A11" s="23" t="str">
        <f>IF(A13&gt;5000,IF(A13&lt;=10000,A13,""),"")</f>
        <v/>
      </c>
      <c r="B11" s="34" t="s">
        <v>195</v>
      </c>
      <c r="C11" s="34">
        <v>1.7</v>
      </c>
      <c r="D11" s="35" t="str">
        <f>IF(A11="","",75800+(A11-5000)*C11*10)</f>
        <v/>
      </c>
      <c r="E11" s="26"/>
    </row>
    <row r="12" ht="24.6" customHeight="1" spans="1:5">
      <c r="A12" s="23" t="str">
        <f>IF(A13&gt;10000,A13,"")</f>
        <v/>
      </c>
      <c r="B12" s="34" t="s">
        <v>21</v>
      </c>
      <c r="C12" s="34">
        <v>0.9</v>
      </c>
      <c r="D12" s="35" t="str">
        <f>IF(A12="","",125800+(A12-10000)*C12*10)</f>
        <v/>
      </c>
      <c r="E12" s="26"/>
    </row>
    <row r="13" ht="24.6" customHeight="1" spans="1:5">
      <c r="A13" s="28"/>
      <c r="B13" s="29" t="s">
        <v>199</v>
      </c>
      <c r="C13" s="36" t="s">
        <v>149</v>
      </c>
      <c r="D13" s="31">
        <f>SUM(D6:D12)</f>
        <v>0</v>
      </c>
      <c r="E13" s="32"/>
    </row>
  </sheetData>
  <mergeCells count="6">
    <mergeCell ref="A1:B1"/>
    <mergeCell ref="A3:E3"/>
    <mergeCell ref="B4:C4"/>
    <mergeCell ref="A4:A5"/>
    <mergeCell ref="D4:D5"/>
    <mergeCell ref="E4:E5"/>
  </mergeCells>
  <pageMargins left="0.75" right="0.75" top="1" bottom="1" header="0.5" footer="0.5"/>
  <pageSetup paperSize="9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>
    <tabColor rgb="FFFF0000"/>
  </sheetPr>
  <dimension ref="A1:H17"/>
  <sheetViews>
    <sheetView topLeftCell="A3" workbookViewId="0">
      <selection activeCell="A14" sqref="A14"/>
    </sheetView>
  </sheetViews>
  <sheetFormatPr defaultColWidth="9" defaultRowHeight="14.25" outlineLevelCol="7"/>
  <cols>
    <col min="1" max="1" width="22.375" customWidth="1"/>
    <col min="2" max="2" width="27" customWidth="1"/>
    <col min="3" max="3" width="14.375" customWidth="1"/>
    <col min="4" max="4" width="14.75" customWidth="1"/>
    <col min="5" max="5" width="20.125" customWidth="1"/>
    <col min="7" max="7" width="8.625" hidden="1" customWidth="1"/>
    <col min="8" max="8" width="9" hidden="1" customWidth="1"/>
  </cols>
  <sheetData>
    <row r="1" ht="24.75" customHeight="1" spans="1:5">
      <c r="A1" s="13" t="s">
        <v>172</v>
      </c>
      <c r="B1" s="13"/>
      <c r="C1" s="14"/>
      <c r="D1" s="14"/>
      <c r="E1" s="14"/>
    </row>
    <row r="2" ht="24" customHeight="1" spans="1:5">
      <c r="A2" s="12" t="s">
        <v>102</v>
      </c>
      <c r="B2" s="13"/>
      <c r="C2" s="14"/>
      <c r="D2" s="14"/>
      <c r="E2" s="14"/>
    </row>
    <row r="3" ht="22.5" customHeight="1" spans="1:5">
      <c r="A3" s="15" t="s">
        <v>204</v>
      </c>
      <c r="B3" s="15"/>
      <c r="C3" s="15"/>
      <c r="D3" s="15"/>
      <c r="E3" s="15"/>
    </row>
    <row r="4" ht="27" customHeight="1" spans="1:5">
      <c r="A4" s="16" t="s">
        <v>205</v>
      </c>
      <c r="B4" s="17" t="s">
        <v>4</v>
      </c>
      <c r="C4" s="17"/>
      <c r="D4" s="17" t="s">
        <v>138</v>
      </c>
      <c r="E4" s="18" t="s">
        <v>7</v>
      </c>
    </row>
    <row r="5" ht="21" customHeight="1" spans="1:5">
      <c r="A5" s="19"/>
      <c r="B5" s="20" t="s">
        <v>206</v>
      </c>
      <c r="C5" s="20" t="s">
        <v>106</v>
      </c>
      <c r="D5" s="21"/>
      <c r="E5" s="22"/>
    </row>
    <row r="6" ht="24.6" customHeight="1" spans="1:8">
      <c r="A6" s="23">
        <f>IF(A14&lt;=100,A14,100)</f>
        <v>100</v>
      </c>
      <c r="B6" s="24" t="s">
        <v>176</v>
      </c>
      <c r="C6" s="24">
        <v>3.4</v>
      </c>
      <c r="D6" s="25">
        <f>IFERROR(IF(A6&lt;G6,3000,A6*C6*10),"")</f>
        <v>3400</v>
      </c>
      <c r="E6" s="26" t="s">
        <v>177</v>
      </c>
      <c r="G6">
        <v>100</v>
      </c>
      <c r="H6">
        <f>G6*C6*10</f>
        <v>3400</v>
      </c>
    </row>
    <row r="7" ht="24.6" customHeight="1" spans="1:8">
      <c r="A7" s="23">
        <f>IF(A14&lt;=500,A14-A6,400)</f>
        <v>400</v>
      </c>
      <c r="B7" s="27" t="s">
        <v>178</v>
      </c>
      <c r="C7" s="24">
        <v>3</v>
      </c>
      <c r="D7" s="25">
        <f>IFERROR(IF(A7&lt;G7,A7*C7*10,H7),"")</f>
        <v>12000</v>
      </c>
      <c r="E7" s="26"/>
      <c r="G7">
        <v>400</v>
      </c>
      <c r="H7">
        <f t="shared" ref="H7:H12" si="0">G7*C7*10</f>
        <v>12000</v>
      </c>
    </row>
    <row r="8" ht="24.6" customHeight="1" spans="1:8">
      <c r="A8" s="23">
        <f>IF(A14&lt;=1000,A14-A7-A6,500)</f>
        <v>500</v>
      </c>
      <c r="B8" s="27" t="s">
        <v>179</v>
      </c>
      <c r="C8" s="24">
        <v>2.6</v>
      </c>
      <c r="D8" s="25">
        <f t="shared" ref="D8:D12" si="1">IFERROR(IF(A8&lt;G8,A8*C8*10,H8),"")</f>
        <v>13000</v>
      </c>
      <c r="E8" s="26"/>
      <c r="G8">
        <v>500</v>
      </c>
      <c r="H8">
        <f t="shared" si="0"/>
        <v>13000</v>
      </c>
    </row>
    <row r="9" ht="24.6" customHeight="1" spans="1:8">
      <c r="A9" s="23">
        <f>IF(A14&lt;=2000,A14-A8-A7-A6,1000)</f>
        <v>1000</v>
      </c>
      <c r="B9" s="27" t="s">
        <v>180</v>
      </c>
      <c r="C9" s="24">
        <v>2.3</v>
      </c>
      <c r="D9" s="25">
        <f t="shared" si="1"/>
        <v>23000</v>
      </c>
      <c r="E9" s="26"/>
      <c r="G9">
        <v>1000</v>
      </c>
      <c r="H9">
        <f t="shared" si="0"/>
        <v>23000</v>
      </c>
    </row>
    <row r="10" ht="24.6" customHeight="1" spans="1:8">
      <c r="A10" s="23">
        <f>IF(A14&lt;=5000,A14-A9-A8-A7-A6,3000)</f>
        <v>3000</v>
      </c>
      <c r="B10" s="27" t="s">
        <v>181</v>
      </c>
      <c r="C10" s="24">
        <v>2.1</v>
      </c>
      <c r="D10" s="25">
        <f t="shared" si="1"/>
        <v>63000</v>
      </c>
      <c r="E10" s="26"/>
      <c r="G10">
        <v>3000</v>
      </c>
      <c r="H10">
        <f t="shared" si="0"/>
        <v>63000</v>
      </c>
    </row>
    <row r="11" ht="24.6" customHeight="1" spans="1:8">
      <c r="A11" s="23">
        <f>IF(A14&lt;=10000,A14-A10-A9-A8-A7-A6,5000)</f>
        <v>5000</v>
      </c>
      <c r="B11" s="27" t="s">
        <v>182</v>
      </c>
      <c r="C11" s="24">
        <v>1.8</v>
      </c>
      <c r="D11" s="25">
        <f t="shared" si="1"/>
        <v>90000</v>
      </c>
      <c r="E11" s="26"/>
      <c r="G11">
        <v>5000</v>
      </c>
      <c r="H11">
        <f t="shared" si="0"/>
        <v>90000</v>
      </c>
    </row>
    <row r="12" ht="24.6" customHeight="1" spans="1:8">
      <c r="A12" s="23">
        <f>IF(A14&lt;50000,A14-A11-A10-A9-A8-A7-A6,40000)</f>
        <v>0</v>
      </c>
      <c r="B12" s="27" t="s">
        <v>183</v>
      </c>
      <c r="C12" s="24">
        <v>1.5</v>
      </c>
      <c r="D12" s="25">
        <f t="shared" si="1"/>
        <v>0</v>
      </c>
      <c r="E12" s="26"/>
      <c r="G12">
        <v>40000</v>
      </c>
      <c r="H12">
        <f t="shared" si="0"/>
        <v>600000</v>
      </c>
    </row>
    <row r="13" ht="24.6" customHeight="1" spans="1:7">
      <c r="A13" s="23">
        <f>IF(A14&gt;50000,A14-50000,0)</f>
        <v>0</v>
      </c>
      <c r="B13" s="27" t="s">
        <v>184</v>
      </c>
      <c r="C13" s="24">
        <v>1.2</v>
      </c>
      <c r="D13" s="25">
        <f>IFERROR(IF(A13&gt;0,A13*C13*10,0),"")</f>
        <v>0</v>
      </c>
      <c r="E13" s="26"/>
      <c r="G13" s="38">
        <f>A14-50000</f>
        <v>-40000</v>
      </c>
    </row>
    <row r="14" ht="24.6" customHeight="1" spans="1:4">
      <c r="A14" s="28">
        <v>10000</v>
      </c>
      <c r="B14" s="29" t="s">
        <v>207</v>
      </c>
      <c r="C14" s="30" t="s">
        <v>149</v>
      </c>
      <c r="D14" s="60">
        <f>SUM(D6:D13)</f>
        <v>204400</v>
      </c>
    </row>
    <row r="15" ht="24.6" customHeight="1" spans="1:5">
      <c r="A15" s="28"/>
      <c r="B15" s="29" t="s">
        <v>208</v>
      </c>
      <c r="C15" s="30" t="s">
        <v>209</v>
      </c>
      <c r="D15" s="60" t="str">
        <f>IF(A14=0,"",IF(A15/A14&lt;0.05,"",(((A15-(A14*0.05))*0.05))*10000))</f>
        <v/>
      </c>
      <c r="E15" s="61" t="s">
        <v>210</v>
      </c>
    </row>
    <row r="16" ht="24.6" customHeight="1" spans="1:5">
      <c r="A16" s="28"/>
      <c r="B16" s="29" t="s">
        <v>211</v>
      </c>
      <c r="C16" s="30" t="s">
        <v>209</v>
      </c>
      <c r="D16" s="60" t="str">
        <f>IF(A16&lt;&gt;0,A16*5%*10000,"")</f>
        <v/>
      </c>
      <c r="E16" s="61" t="s">
        <v>212</v>
      </c>
    </row>
    <row r="17" ht="24.6" customHeight="1" spans="3:4">
      <c r="C17" s="30" t="s">
        <v>213</v>
      </c>
      <c r="D17" s="60">
        <f>SUM(D14:D16)</f>
        <v>204400</v>
      </c>
    </row>
  </sheetData>
  <sheetProtection sheet="1" selectLockedCells="1" objects="1"/>
  <mergeCells count="6">
    <mergeCell ref="A1:B1"/>
    <mergeCell ref="A3:E3"/>
    <mergeCell ref="B4:C4"/>
    <mergeCell ref="A4:A5"/>
    <mergeCell ref="D4:D5"/>
    <mergeCell ref="E4:E5"/>
  </mergeCells>
  <pageMargins left="0.75" right="0.75" top="1" bottom="1" header="0.5" footer="0.5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13"/>
  <sheetViews>
    <sheetView workbookViewId="0">
      <selection activeCell="F25" sqref="F25"/>
    </sheetView>
  </sheetViews>
  <sheetFormatPr defaultColWidth="9" defaultRowHeight="14.25" outlineLevelCol="7"/>
  <cols>
    <col min="2" max="2" width="25.25" customWidth="1"/>
    <col min="3" max="3" width="9.875" customWidth="1"/>
    <col min="4" max="4" width="6" customWidth="1"/>
    <col min="5" max="5" width="24.625" customWidth="1"/>
    <col min="7" max="8" width="25.25" customWidth="1"/>
  </cols>
  <sheetData>
    <row r="1" spans="1:8">
      <c r="A1" s="157"/>
      <c r="B1" s="157"/>
      <c r="C1" s="157"/>
      <c r="D1" s="157"/>
      <c r="E1" s="158" t="s">
        <v>55</v>
      </c>
      <c r="F1" s="158"/>
      <c r="G1" s="158"/>
      <c r="H1" s="158"/>
    </row>
    <row r="2" spans="1:8">
      <c r="A2" s="159" t="s">
        <v>56</v>
      </c>
      <c r="B2" s="159" t="s">
        <v>57</v>
      </c>
      <c r="C2" s="159" t="s">
        <v>58</v>
      </c>
      <c r="D2" s="157"/>
      <c r="E2" s="160" t="s">
        <v>59</v>
      </c>
      <c r="F2" s="159" t="s">
        <v>60</v>
      </c>
      <c r="G2" s="159" t="s">
        <v>61</v>
      </c>
      <c r="H2" s="159" t="s">
        <v>61</v>
      </c>
    </row>
    <row r="3" spans="1:8">
      <c r="A3" s="161" t="s">
        <v>62</v>
      </c>
      <c r="B3" s="161" t="s">
        <v>63</v>
      </c>
      <c r="C3" s="159">
        <v>1</v>
      </c>
      <c r="D3" s="157"/>
      <c r="E3" s="159" t="s">
        <v>63</v>
      </c>
      <c r="F3" s="159">
        <f>COUNTIF(B:B,E3)</f>
        <v>1</v>
      </c>
      <c r="G3" s="159">
        <f>SUMIF(B:B,E3,C:C)*780</f>
        <v>780</v>
      </c>
      <c r="H3" s="159">
        <f>SUMIF(B:B,E3,C:C)*1560</f>
        <v>1560</v>
      </c>
    </row>
    <row r="4" spans="1:8">
      <c r="A4" s="161" t="s">
        <v>64</v>
      </c>
      <c r="B4" s="161" t="s">
        <v>65</v>
      </c>
      <c r="C4" s="159">
        <v>2</v>
      </c>
      <c r="D4" s="157"/>
      <c r="E4" s="159" t="s">
        <v>65</v>
      </c>
      <c r="F4" s="159">
        <f>COUNTIF(B:B,E4)</f>
        <v>3</v>
      </c>
      <c r="G4" s="159">
        <f>SUMIF(B:B,E4,C:C)*520</f>
        <v>7800</v>
      </c>
      <c r="H4" s="159">
        <f>SUMIF(B:B,E4,C:C)*1040</f>
        <v>15600</v>
      </c>
    </row>
    <row r="5" spans="1:8">
      <c r="A5" s="161" t="s">
        <v>66</v>
      </c>
      <c r="B5" s="161" t="s">
        <v>67</v>
      </c>
      <c r="C5" s="159">
        <v>3</v>
      </c>
      <c r="D5" s="157"/>
      <c r="E5" s="159" t="s">
        <v>67</v>
      </c>
      <c r="F5" s="159">
        <f>COUNTIF(B:B,E5)</f>
        <v>6</v>
      </c>
      <c r="G5" s="159">
        <f>SUMIF(B:B,E5,C:C)*130</f>
        <v>5070</v>
      </c>
      <c r="H5" s="159">
        <f>SUMIF(B:B,E5,C:C)*650</f>
        <v>25350</v>
      </c>
    </row>
    <row r="6" spans="1:8">
      <c r="A6" s="161" t="s">
        <v>68</v>
      </c>
      <c r="B6" s="161" t="s">
        <v>67</v>
      </c>
      <c r="C6" s="159">
        <v>4</v>
      </c>
      <c r="D6" s="157"/>
      <c r="E6" s="159" t="s">
        <v>69</v>
      </c>
      <c r="F6" s="162">
        <f>SUM(F3:F5)</f>
        <v>10</v>
      </c>
      <c r="G6" s="162">
        <f t="shared" ref="G6:H6" si="0">SUM(G3:G5)</f>
        <v>13650</v>
      </c>
      <c r="H6" s="162">
        <f t="shared" si="0"/>
        <v>42510</v>
      </c>
    </row>
    <row r="7" spans="1:8">
      <c r="A7" s="161" t="s">
        <v>70</v>
      </c>
      <c r="B7" s="161" t="s">
        <v>65</v>
      </c>
      <c r="C7" s="159">
        <v>5</v>
      </c>
      <c r="D7" s="157"/>
      <c r="E7" s="157"/>
      <c r="F7" s="157"/>
      <c r="G7" s="157"/>
      <c r="H7" s="157"/>
    </row>
    <row r="8" spans="1:8">
      <c r="A8" s="161" t="s">
        <v>71</v>
      </c>
      <c r="B8" s="161" t="s">
        <v>67</v>
      </c>
      <c r="C8" s="159">
        <v>6</v>
      </c>
      <c r="D8" s="157"/>
      <c r="E8" s="157"/>
      <c r="F8" s="157"/>
      <c r="G8" s="157"/>
      <c r="H8" s="157"/>
    </row>
    <row r="9" spans="1:8">
      <c r="A9" s="161" t="s">
        <v>72</v>
      </c>
      <c r="B9" s="161" t="s">
        <v>67</v>
      </c>
      <c r="C9" s="159">
        <v>7</v>
      </c>
      <c r="D9" s="157"/>
      <c r="E9" s="157"/>
      <c r="F9" s="157"/>
      <c r="G9" s="157"/>
      <c r="H9" s="157"/>
    </row>
    <row r="10" spans="1:8">
      <c r="A10" s="161" t="s">
        <v>73</v>
      </c>
      <c r="B10" s="161" t="s">
        <v>65</v>
      </c>
      <c r="C10" s="159">
        <v>8</v>
      </c>
      <c r="D10" s="157"/>
      <c r="E10" s="157"/>
      <c r="F10" s="157"/>
      <c r="G10" s="157"/>
      <c r="H10" s="157"/>
    </row>
    <row r="11" spans="1:8">
      <c r="A11" s="161" t="s">
        <v>74</v>
      </c>
      <c r="B11" s="161" t="s">
        <v>67</v>
      </c>
      <c r="C11" s="159">
        <v>9</v>
      </c>
      <c r="D11" s="157"/>
      <c r="E11" s="157"/>
      <c r="F11" s="157"/>
      <c r="G11" s="157"/>
      <c r="H11" s="157"/>
    </row>
    <row r="12" spans="1:8">
      <c r="A12" s="161" t="s">
        <v>75</v>
      </c>
      <c r="B12" s="161" t="s">
        <v>67</v>
      </c>
      <c r="C12" s="159">
        <v>10</v>
      </c>
      <c r="D12" s="157"/>
      <c r="E12" s="157"/>
      <c r="F12" s="157"/>
      <c r="G12" s="157"/>
      <c r="H12" s="157"/>
    </row>
    <row r="13" spans="1:8">
      <c r="A13" s="157"/>
      <c r="B13" s="157"/>
      <c r="C13" s="157"/>
      <c r="D13" s="157"/>
      <c r="E13" s="157"/>
      <c r="F13" s="157"/>
      <c r="G13" s="157"/>
      <c r="H13" s="157"/>
    </row>
  </sheetData>
  <mergeCells count="1">
    <mergeCell ref="E1:H1"/>
  </mergeCells>
  <dataValidations count="1">
    <dataValidation type="list" allowBlank="1" showInputMessage="1" showErrorMessage="1" sqref="B3:B12 E3:E5">
      <formula1>"主任（副主任）会计师,注册会计师,助理人员"</formula1>
    </dataValidation>
  </dataValidations>
  <pageMargins left="0.7" right="0.7" top="0.75" bottom="0.75" header="0.3" footer="0.3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0000"/>
  </sheetPr>
  <dimension ref="A1:E16"/>
  <sheetViews>
    <sheetView topLeftCell="A8" workbookViewId="0">
      <selection activeCell="A15" sqref="A15"/>
    </sheetView>
  </sheetViews>
  <sheetFormatPr defaultColWidth="9" defaultRowHeight="14.25" outlineLevelCol="4"/>
  <cols>
    <col min="1" max="1" width="20.75" customWidth="1"/>
    <col min="2" max="2" width="28" customWidth="1"/>
    <col min="3" max="3" width="19.875" customWidth="1"/>
    <col min="4" max="4" width="20.375" customWidth="1"/>
    <col min="5" max="5" width="24.625" customWidth="1"/>
  </cols>
  <sheetData>
    <row r="1" ht="30.75" customHeight="1" spans="1:5">
      <c r="A1" s="13" t="s">
        <v>172</v>
      </c>
      <c r="B1" s="13"/>
      <c r="C1" s="14"/>
      <c r="D1" s="14"/>
      <c r="E1" s="14"/>
    </row>
    <row r="2" ht="28.5" customHeight="1" spans="1:5">
      <c r="A2" s="12" t="s">
        <v>102</v>
      </c>
      <c r="B2" s="13"/>
      <c r="C2" s="14"/>
      <c r="D2" s="14"/>
      <c r="E2" s="14"/>
    </row>
    <row r="3" ht="28.5" customHeight="1" spans="1:5">
      <c r="A3" s="15" t="s">
        <v>204</v>
      </c>
      <c r="B3" s="15"/>
      <c r="C3" s="15"/>
      <c r="D3" s="15"/>
      <c r="E3" s="15"/>
    </row>
    <row r="4" ht="24.75" customHeight="1" spans="1:5">
      <c r="A4" s="16" t="s">
        <v>205</v>
      </c>
      <c r="B4" s="17" t="s">
        <v>4</v>
      </c>
      <c r="C4" s="17"/>
      <c r="D4" s="17" t="s">
        <v>214</v>
      </c>
      <c r="E4" s="18" t="s">
        <v>7</v>
      </c>
    </row>
    <row r="5" spans="1:5">
      <c r="A5" s="19"/>
      <c r="B5" s="20" t="s">
        <v>206</v>
      </c>
      <c r="C5" s="20" t="s">
        <v>106</v>
      </c>
      <c r="D5" s="21"/>
      <c r="E5" s="22"/>
    </row>
    <row r="6" ht="24.6" customHeight="1" spans="1:5">
      <c r="A6" s="23" t="str">
        <f>IF(A13&gt;0,IF(A13&lt;=100,A13,""),"")</f>
        <v/>
      </c>
      <c r="B6" s="24" t="s">
        <v>190</v>
      </c>
      <c r="C6" s="24">
        <v>3.4</v>
      </c>
      <c r="D6" s="25" t="str">
        <f>IF(A6&lt;71.43,2000,IF(A6="","",A6*C6*10))</f>
        <v/>
      </c>
      <c r="E6" s="26" t="s">
        <v>177</v>
      </c>
    </row>
    <row r="7" ht="24.6" customHeight="1" spans="1:5">
      <c r="A7" s="23" t="str">
        <f>IF(A13&gt;100,IF(A13&lt;=500,A13,""),"")</f>
        <v/>
      </c>
      <c r="B7" s="27" t="s">
        <v>191</v>
      </c>
      <c r="C7" s="24">
        <v>3</v>
      </c>
      <c r="D7" s="25" t="str">
        <f>IF(A7="","",2800+(A7-100)*C7*10)</f>
        <v/>
      </c>
      <c r="E7" s="26"/>
    </row>
    <row r="8" ht="24.6" customHeight="1" spans="1:5">
      <c r="A8" s="23" t="str">
        <f>IF(A13&gt;500,IF(A13&lt;=1000,A13,""),"")</f>
        <v/>
      </c>
      <c r="B8" s="27" t="s">
        <v>192</v>
      </c>
      <c r="C8" s="24">
        <v>2.6</v>
      </c>
      <c r="D8" s="25" t="str">
        <f>IF(A8="","",12800+(A8-500)*C8*10)</f>
        <v/>
      </c>
      <c r="E8" s="26"/>
    </row>
    <row r="9" ht="24.6" customHeight="1" spans="1:5">
      <c r="A9" s="23" t="str">
        <f>IF(A13&gt;1000,IF(A13&lt;=2000,A13,""),"")</f>
        <v/>
      </c>
      <c r="B9" s="34" t="s">
        <v>193</v>
      </c>
      <c r="C9" s="34">
        <v>2.3</v>
      </c>
      <c r="D9" s="35" t="str">
        <f>IF(A9="","",23800+(A9-1000)*C9*10)</f>
        <v/>
      </c>
      <c r="E9" s="26"/>
    </row>
    <row r="10" ht="24.6" customHeight="1" spans="1:5">
      <c r="A10" s="23" t="str">
        <f>IF(A13&gt;2000,IF(A13&lt;=5000,A13,""),"")</f>
        <v/>
      </c>
      <c r="B10" s="34" t="s">
        <v>194</v>
      </c>
      <c r="C10" s="34">
        <v>2.1</v>
      </c>
      <c r="D10" s="35" t="str">
        <f>IF(A10="","",42800+(A10-2000)*C10*10)</f>
        <v/>
      </c>
      <c r="E10" s="26"/>
    </row>
    <row r="11" ht="24.6" customHeight="1" spans="1:5">
      <c r="A11" s="23" t="str">
        <f>IF(A13&gt;5000,IF(A13&lt;=10000,A13,""),"")</f>
        <v/>
      </c>
      <c r="B11" s="34" t="s">
        <v>195</v>
      </c>
      <c r="C11" s="34">
        <v>1.8</v>
      </c>
      <c r="D11" s="35" t="str">
        <f>IF(A11="","",90800+(A11-5000)*C11*10)</f>
        <v/>
      </c>
      <c r="E11" s="26"/>
    </row>
    <row r="12" s="39" customFormat="1" ht="24.6" customHeight="1" spans="1:5">
      <c r="A12" s="40">
        <f>IF(A13&gt;10000,A13,"")</f>
        <v>55000</v>
      </c>
      <c r="B12" s="41" t="s">
        <v>21</v>
      </c>
      <c r="C12" s="41">
        <v>1</v>
      </c>
      <c r="D12" s="42">
        <f>IF(A12="","",155800+(A12-10000)*C12*10)</f>
        <v>605800</v>
      </c>
      <c r="E12" s="43"/>
    </row>
    <row r="13" ht="33.75" customHeight="1" spans="1:5">
      <c r="A13" s="45">
        <v>55000</v>
      </c>
      <c r="B13" s="46" t="s">
        <v>207</v>
      </c>
      <c r="C13" s="47" t="s">
        <v>215</v>
      </c>
      <c r="D13" s="48">
        <f>SUM(D6:D12)</f>
        <v>605800</v>
      </c>
      <c r="E13" s="49"/>
    </row>
    <row r="14" ht="33.75" customHeight="1" spans="1:5">
      <c r="A14" s="50"/>
      <c r="B14" s="51" t="s">
        <v>208</v>
      </c>
      <c r="C14" s="52" t="s">
        <v>209</v>
      </c>
      <c r="D14" s="53" t="str">
        <f>IF(A13=0,"",IF(A14/A13&lt;0.05,"",(((A14-(A13*0.05))*0.05))*10000))</f>
        <v/>
      </c>
      <c r="E14" s="54" t="s">
        <v>210</v>
      </c>
    </row>
    <row r="15" ht="30" customHeight="1" spans="1:5">
      <c r="A15" s="50"/>
      <c r="B15" s="51" t="s">
        <v>211</v>
      </c>
      <c r="C15" s="52" t="s">
        <v>209</v>
      </c>
      <c r="D15" s="53" t="str">
        <f>IF(A15&lt;&gt;0,A15*5%*10000,"")</f>
        <v/>
      </c>
      <c r="E15" s="55" t="s">
        <v>212</v>
      </c>
    </row>
    <row r="16" ht="35.25" customHeight="1" spans="1:5">
      <c r="A16" s="56"/>
      <c r="B16" s="56"/>
      <c r="C16" s="57" t="s">
        <v>213</v>
      </c>
      <c r="D16" s="58">
        <f>SUM(D13:D15)</f>
        <v>605800</v>
      </c>
      <c r="E16" s="59"/>
    </row>
  </sheetData>
  <mergeCells count="6">
    <mergeCell ref="A1:B1"/>
    <mergeCell ref="A3:E3"/>
    <mergeCell ref="B4:C4"/>
    <mergeCell ref="A4:A5"/>
    <mergeCell ref="D4:D5"/>
    <mergeCell ref="E4:E5"/>
  </mergeCells>
  <pageMargins left="0.75" right="0.75" top="1" bottom="1" header="0.5" footer="0.5"/>
  <pageSetup paperSize="9" orientation="landscape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>
    <tabColor rgb="FFFF0000"/>
  </sheetPr>
  <dimension ref="A1:H14"/>
  <sheetViews>
    <sheetView tabSelected="1" topLeftCell="A4" workbookViewId="0">
      <selection activeCell="A14" sqref="A14"/>
    </sheetView>
  </sheetViews>
  <sheetFormatPr defaultColWidth="9" defaultRowHeight="14.25" outlineLevelCol="7"/>
  <cols>
    <col min="1" max="1" width="22.375" customWidth="1"/>
    <col min="2" max="2" width="27" customWidth="1"/>
    <col min="3" max="3" width="14.375" customWidth="1"/>
    <col min="4" max="4" width="14.75" customWidth="1"/>
    <col min="5" max="5" width="14.875" customWidth="1"/>
    <col min="7" max="7" width="8.625" hidden="1" customWidth="1"/>
    <col min="8" max="8" width="9" hidden="1" customWidth="1"/>
  </cols>
  <sheetData>
    <row r="1" ht="24.75" customHeight="1" spans="1:5">
      <c r="A1" s="13" t="s">
        <v>172</v>
      </c>
      <c r="B1" s="13"/>
      <c r="C1" s="14"/>
      <c r="D1" s="14"/>
      <c r="E1" s="14"/>
    </row>
    <row r="2" ht="24" customHeight="1" spans="1:5">
      <c r="A2" s="12" t="s">
        <v>102</v>
      </c>
      <c r="B2" s="13"/>
      <c r="C2" s="14"/>
      <c r="D2" s="14"/>
      <c r="E2" s="14"/>
    </row>
    <row r="3" ht="22.5" customHeight="1" spans="1:5">
      <c r="A3" s="15" t="s">
        <v>216</v>
      </c>
      <c r="B3" s="15"/>
      <c r="C3" s="15"/>
      <c r="D3" s="15"/>
      <c r="E3" s="15"/>
    </row>
    <row r="4" ht="27" customHeight="1" spans="1:5">
      <c r="A4" s="16" t="s">
        <v>217</v>
      </c>
      <c r="B4" s="17" t="s">
        <v>4</v>
      </c>
      <c r="C4" s="17"/>
      <c r="D4" s="17" t="s">
        <v>138</v>
      </c>
      <c r="E4" s="18" t="s">
        <v>7</v>
      </c>
    </row>
    <row r="5" ht="21" customHeight="1" spans="1:5">
      <c r="A5" s="19"/>
      <c r="B5" s="20" t="s">
        <v>217</v>
      </c>
      <c r="C5" s="20" t="s">
        <v>106</v>
      </c>
      <c r="D5" s="21"/>
      <c r="E5" s="22"/>
    </row>
    <row r="6" ht="24.6" customHeight="1" spans="1:8">
      <c r="A6" s="23">
        <f>IF(A14&lt;=100,A14,100)</f>
        <v>0</v>
      </c>
      <c r="B6" s="24" t="s">
        <v>176</v>
      </c>
      <c r="C6" s="24">
        <v>2</v>
      </c>
      <c r="D6" s="25">
        <f>IFERROR(IF(A6&lt;G6,3000,A6*C6*10),"")</f>
        <v>3000</v>
      </c>
      <c r="E6" s="26" t="s">
        <v>177</v>
      </c>
      <c r="G6">
        <v>100</v>
      </c>
      <c r="H6">
        <f>G6*C6*10</f>
        <v>2000</v>
      </c>
    </row>
    <row r="7" ht="24.6" customHeight="1" spans="1:8">
      <c r="A7" s="23">
        <f>IF(A14&lt;=500,A14-A6,400)</f>
        <v>0</v>
      </c>
      <c r="B7" s="27" t="s">
        <v>178</v>
      </c>
      <c r="C7" s="24">
        <v>1.6</v>
      </c>
      <c r="D7" s="25">
        <f>IFERROR(IF(A7&lt;G7,A7*C7*10,H7),"")</f>
        <v>0</v>
      </c>
      <c r="E7" s="26"/>
      <c r="G7">
        <v>400</v>
      </c>
      <c r="H7">
        <f t="shared" ref="H7:H12" si="0">G7*C7*10</f>
        <v>6400</v>
      </c>
    </row>
    <row r="8" ht="24.6" customHeight="1" spans="1:8">
      <c r="A8" s="23">
        <f>IF(A14&lt;=1000,A14-A7-A6,500)</f>
        <v>0</v>
      </c>
      <c r="B8" s="27" t="s">
        <v>179</v>
      </c>
      <c r="C8" s="24">
        <v>1.2</v>
      </c>
      <c r="D8" s="25">
        <f t="shared" ref="D8:D12" si="1">IFERROR(IF(A8&lt;G8,A8*C8*10,H8),"")</f>
        <v>0</v>
      </c>
      <c r="E8" s="26"/>
      <c r="G8">
        <v>500</v>
      </c>
      <c r="H8">
        <f t="shared" si="0"/>
        <v>6000</v>
      </c>
    </row>
    <row r="9" ht="24.6" customHeight="1" spans="1:8">
      <c r="A9" s="23">
        <f>IF(A14&lt;=2000,A14-A8-A7-A6,1000)</f>
        <v>0</v>
      </c>
      <c r="B9" s="27" t="s">
        <v>180</v>
      </c>
      <c r="C9" s="24">
        <v>0.8</v>
      </c>
      <c r="D9" s="25">
        <f t="shared" si="1"/>
        <v>0</v>
      </c>
      <c r="E9" s="26"/>
      <c r="G9">
        <v>1000</v>
      </c>
      <c r="H9">
        <f t="shared" si="0"/>
        <v>8000</v>
      </c>
    </row>
    <row r="10" ht="24.6" customHeight="1" spans="1:8">
      <c r="A10" s="23">
        <f>IF(A14&lt;=5000,A14-A9-A8-A7-A6,3000)</f>
        <v>0</v>
      </c>
      <c r="B10" s="27" t="s">
        <v>181</v>
      </c>
      <c r="C10" s="24">
        <v>0.5</v>
      </c>
      <c r="D10" s="25">
        <f t="shared" si="1"/>
        <v>0</v>
      </c>
      <c r="E10" s="26"/>
      <c r="G10">
        <v>3000</v>
      </c>
      <c r="H10">
        <f t="shared" si="0"/>
        <v>15000</v>
      </c>
    </row>
    <row r="11" ht="24.6" customHeight="1" spans="1:8">
      <c r="A11" s="23">
        <f>IF(A14&lt;=10000,A14-A10-A9-A8-A7-A6,5000)</f>
        <v>0</v>
      </c>
      <c r="B11" s="27" t="s">
        <v>182</v>
      </c>
      <c r="C11" s="24">
        <v>0.3</v>
      </c>
      <c r="D11" s="25">
        <f t="shared" si="1"/>
        <v>0</v>
      </c>
      <c r="E11" s="26"/>
      <c r="G11">
        <v>5000</v>
      </c>
      <c r="H11">
        <f t="shared" si="0"/>
        <v>15000</v>
      </c>
    </row>
    <row r="12" ht="24.6" customHeight="1" spans="1:8">
      <c r="A12" s="23">
        <f>IF(A14&lt;50000,A14-A11-A10-A9-A8-A7-A6,40000)</f>
        <v>0</v>
      </c>
      <c r="B12" s="27" t="s">
        <v>183</v>
      </c>
      <c r="C12" s="24">
        <v>0.1</v>
      </c>
      <c r="D12" s="25">
        <f t="shared" si="1"/>
        <v>0</v>
      </c>
      <c r="E12" s="26"/>
      <c r="G12">
        <v>40000</v>
      </c>
      <c r="H12">
        <f t="shared" si="0"/>
        <v>40000</v>
      </c>
    </row>
    <row r="13" ht="24.6" customHeight="1" spans="1:7">
      <c r="A13" s="23">
        <f>IF(A14&gt;50000,A14-50000,0)</f>
        <v>0</v>
      </c>
      <c r="B13" s="27" t="s">
        <v>184</v>
      </c>
      <c r="C13" s="24">
        <v>0.1</v>
      </c>
      <c r="D13" s="25">
        <f>IFERROR(IF(A13&gt;0,A13*C13*10,0),"")</f>
        <v>0</v>
      </c>
      <c r="E13" s="26"/>
      <c r="G13" s="38">
        <f>A14-50000</f>
        <v>-50000</v>
      </c>
    </row>
    <row r="14" ht="24.6" customHeight="1" spans="1:5">
      <c r="A14" s="28"/>
      <c r="B14" s="29" t="s">
        <v>218</v>
      </c>
      <c r="C14" s="30" t="s">
        <v>149</v>
      </c>
      <c r="D14" s="31">
        <f>SUM(D6:D13)</f>
        <v>3000</v>
      </c>
      <c r="E14" s="32"/>
    </row>
  </sheetData>
  <sheetProtection sheet="1" selectLockedCells="1" objects="1"/>
  <mergeCells count="6">
    <mergeCell ref="A1:B1"/>
    <mergeCell ref="A3:E3"/>
    <mergeCell ref="B4:C4"/>
    <mergeCell ref="A4:A5"/>
    <mergeCell ref="D4:D5"/>
    <mergeCell ref="E4:E5"/>
  </mergeCells>
  <pageMargins left="0.75" right="0.75" top="1" bottom="1" header="0.5" footer="0.5"/>
  <pageSetup paperSize="9" orientation="landscape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tabColor rgb="FFFF0000"/>
  </sheetPr>
  <dimension ref="A1:I15"/>
  <sheetViews>
    <sheetView topLeftCell="A8" workbookViewId="0">
      <selection activeCell="D16" sqref="D16"/>
    </sheetView>
  </sheetViews>
  <sheetFormatPr defaultColWidth="9" defaultRowHeight="14.25"/>
  <cols>
    <col min="1" max="1" width="22.375" customWidth="1"/>
    <col min="2" max="2" width="27" customWidth="1"/>
    <col min="3" max="3" width="14.375" customWidth="1"/>
    <col min="4" max="4" width="14.75" customWidth="1"/>
    <col min="5" max="5" width="14.875" customWidth="1"/>
  </cols>
  <sheetData>
    <row r="1" ht="24.75" customHeight="1" spans="1:5">
      <c r="A1" s="13" t="s">
        <v>172</v>
      </c>
      <c r="B1" s="13"/>
      <c r="C1" s="14"/>
      <c r="D1" s="14"/>
      <c r="E1" s="14"/>
    </row>
    <row r="2" ht="24" customHeight="1" spans="1:5">
      <c r="A2" s="12" t="s">
        <v>102</v>
      </c>
      <c r="B2" s="13"/>
      <c r="C2" s="14"/>
      <c r="D2" s="14"/>
      <c r="E2" s="14"/>
    </row>
    <row r="3" ht="22.5" customHeight="1" spans="1:5">
      <c r="A3" s="15" t="s">
        <v>216</v>
      </c>
      <c r="B3" s="15"/>
      <c r="C3" s="15"/>
      <c r="D3" s="15"/>
      <c r="E3" s="15"/>
    </row>
    <row r="4" ht="27" customHeight="1" spans="1:5">
      <c r="A4" s="16" t="s">
        <v>217</v>
      </c>
      <c r="B4" s="17" t="s">
        <v>4</v>
      </c>
      <c r="C4" s="17"/>
      <c r="D4" s="17" t="s">
        <v>138</v>
      </c>
      <c r="E4" s="18" t="s">
        <v>7</v>
      </c>
    </row>
    <row r="5" ht="21" customHeight="1" spans="1:5">
      <c r="A5" s="19"/>
      <c r="B5" s="20" t="s">
        <v>217</v>
      </c>
      <c r="C5" s="20" t="s">
        <v>106</v>
      </c>
      <c r="D5" s="21"/>
      <c r="E5" s="22"/>
    </row>
    <row r="6" ht="24.6" customHeight="1" spans="1:9">
      <c r="A6" s="23" t="str">
        <f>IF(A13&gt;0,IF(A13&lt;=100,A13,""),"")</f>
        <v/>
      </c>
      <c r="B6" s="24" t="s">
        <v>190</v>
      </c>
      <c r="C6" s="24">
        <v>2</v>
      </c>
      <c r="D6" s="25" t="str">
        <f>IF(A6&lt;=100,2000,IF(A6="","",A6*C6*10))</f>
        <v/>
      </c>
      <c r="E6" s="26" t="s">
        <v>177</v>
      </c>
      <c r="G6">
        <v>62400</v>
      </c>
      <c r="H6">
        <v>0.3</v>
      </c>
      <c r="I6">
        <f>G6*H6</f>
        <v>18720</v>
      </c>
    </row>
    <row r="7" ht="24.6" customHeight="1" spans="1:5">
      <c r="A7" s="23" t="str">
        <f>IF(A13&gt;100,IF(A13&lt;=500,A13,""),"")</f>
        <v/>
      </c>
      <c r="B7" s="27" t="s">
        <v>191</v>
      </c>
      <c r="C7" s="24">
        <v>1.6</v>
      </c>
      <c r="D7" s="25" t="str">
        <f>IF(A7="","",2000+(A7-100)*C7*10)</f>
        <v/>
      </c>
      <c r="E7" s="26"/>
    </row>
    <row r="8" ht="24.6" customHeight="1" spans="1:5">
      <c r="A8" s="23" t="str">
        <f>IF(A13&gt;500,IF(A13&lt;=1000,A13,""),"")</f>
        <v/>
      </c>
      <c r="B8" s="27" t="s">
        <v>192</v>
      </c>
      <c r="C8" s="24">
        <v>1.2</v>
      </c>
      <c r="D8" s="25" t="str">
        <f>IF(A8="","",8400+(A8-500)*C8*10)</f>
        <v/>
      </c>
      <c r="E8" s="26"/>
    </row>
    <row r="9" ht="24.6" customHeight="1" spans="1:5">
      <c r="A9" s="23" t="str">
        <f>IF(A13&gt;1000,IF(A13&lt;=2000,A13,""),"")</f>
        <v/>
      </c>
      <c r="B9" s="34" t="s">
        <v>193</v>
      </c>
      <c r="C9" s="34">
        <v>0.8</v>
      </c>
      <c r="D9" s="35" t="str">
        <f>IF(A9="","",14400+(A9-1000)*C9*10)</f>
        <v/>
      </c>
      <c r="E9" s="26"/>
    </row>
    <row r="10" ht="24.6" customHeight="1" spans="1:5">
      <c r="A10" s="23" t="str">
        <f>IF(A13&gt;2000,IF(A13&lt;=5000,A13,""),"")</f>
        <v/>
      </c>
      <c r="B10" s="34" t="s">
        <v>194</v>
      </c>
      <c r="C10" s="34">
        <v>0.5</v>
      </c>
      <c r="D10" s="35" t="str">
        <f>IF(A10="","",22400+(A10-2000)*C10*10)</f>
        <v/>
      </c>
      <c r="E10" s="26"/>
    </row>
    <row r="11" ht="24.6" customHeight="1" spans="1:5">
      <c r="A11" s="23" t="str">
        <f>IF(A13&gt;5000,IF(A13&lt;=10000,A13,""),"")</f>
        <v/>
      </c>
      <c r="B11" s="34" t="s">
        <v>195</v>
      </c>
      <c r="C11" s="34">
        <v>0.3</v>
      </c>
      <c r="D11" s="35" t="str">
        <f>IF(A11="","",37400+(A11-5000)*C11*10)</f>
        <v/>
      </c>
      <c r="E11" s="26"/>
    </row>
    <row r="12" ht="24.6" customHeight="1" spans="1:5">
      <c r="A12" s="23">
        <f>IF(A13&gt;10000,A13,"")</f>
        <v>20000</v>
      </c>
      <c r="B12" s="34" t="s">
        <v>21</v>
      </c>
      <c r="C12" s="34">
        <v>0.1</v>
      </c>
      <c r="D12" s="35">
        <f>IF(A12="","",52400+(A12-10000)*C12*10)</f>
        <v>62400</v>
      </c>
      <c r="E12" s="26"/>
    </row>
    <row r="13" ht="24.6" customHeight="1" spans="1:5">
      <c r="A13" s="28">
        <v>20000</v>
      </c>
      <c r="B13" s="29" t="s">
        <v>218</v>
      </c>
      <c r="C13" s="36" t="s">
        <v>149</v>
      </c>
      <c r="D13" s="31">
        <f>SUM(D6:D12)</f>
        <v>62400</v>
      </c>
      <c r="E13" s="32"/>
    </row>
    <row r="15" spans="4:4">
      <c r="D15" s="44">
        <f>D13*0.7</f>
        <v>43680</v>
      </c>
    </row>
  </sheetData>
  <mergeCells count="6">
    <mergeCell ref="A1:B1"/>
    <mergeCell ref="A3:E3"/>
    <mergeCell ref="B4:C4"/>
    <mergeCell ref="A4:A5"/>
    <mergeCell ref="D4:D5"/>
    <mergeCell ref="E4:E5"/>
  </mergeCells>
  <pageMargins left="0.75" right="0.75" top="1" bottom="1" header="0.5" footer="0.5"/>
  <pageSetup paperSize="9" orientation="landscape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>
    <tabColor rgb="FFFF0000"/>
  </sheetPr>
  <dimension ref="A1:H14"/>
  <sheetViews>
    <sheetView topLeftCell="A3" workbookViewId="0">
      <selection activeCell="A14" sqref="A14"/>
    </sheetView>
  </sheetViews>
  <sheetFormatPr defaultColWidth="9" defaultRowHeight="14.25" outlineLevelCol="7"/>
  <cols>
    <col min="1" max="1" width="22.375" customWidth="1"/>
    <col min="2" max="2" width="27" customWidth="1"/>
    <col min="3" max="3" width="14.375" customWidth="1"/>
    <col min="4" max="4" width="14.75" customWidth="1"/>
    <col min="5" max="5" width="14.875" customWidth="1"/>
    <col min="7" max="7" width="8.625" hidden="1" customWidth="1"/>
    <col min="8" max="8" width="9" hidden="1" customWidth="1"/>
  </cols>
  <sheetData>
    <row r="1" ht="24.75" customHeight="1" spans="1:5">
      <c r="A1" s="13" t="s">
        <v>172</v>
      </c>
      <c r="B1" s="13"/>
      <c r="C1" s="14"/>
      <c r="D1" s="14"/>
      <c r="E1" s="14"/>
    </row>
    <row r="2" ht="24" customHeight="1" spans="1:5">
      <c r="A2" s="12" t="s">
        <v>102</v>
      </c>
      <c r="B2" s="13"/>
      <c r="C2" s="14"/>
      <c r="D2" s="14"/>
      <c r="E2" s="14"/>
    </row>
    <row r="3" ht="22.5" customHeight="1" spans="1:5">
      <c r="A3" s="15" t="s">
        <v>219</v>
      </c>
      <c r="B3" s="15"/>
      <c r="C3" s="15"/>
      <c r="D3" s="15"/>
      <c r="E3" s="15"/>
    </row>
    <row r="4" ht="27" customHeight="1" spans="1:5">
      <c r="A4" s="16" t="s">
        <v>220</v>
      </c>
      <c r="B4" s="17" t="s">
        <v>4</v>
      </c>
      <c r="C4" s="17"/>
      <c r="D4" s="17" t="s">
        <v>138</v>
      </c>
      <c r="E4" s="18" t="s">
        <v>7</v>
      </c>
    </row>
    <row r="5" ht="21" customHeight="1" spans="1:5">
      <c r="A5" s="19"/>
      <c r="B5" s="20" t="s">
        <v>221</v>
      </c>
      <c r="C5" s="20" t="s">
        <v>106</v>
      </c>
      <c r="D5" s="21"/>
      <c r="E5" s="22"/>
    </row>
    <row r="6" ht="24.6" customHeight="1" spans="1:8">
      <c r="A6" s="23">
        <f>IF(A14&lt;=100,A14,100)</f>
        <v>100</v>
      </c>
      <c r="B6" s="24" t="s">
        <v>176</v>
      </c>
      <c r="C6" s="24">
        <v>15</v>
      </c>
      <c r="D6" s="25">
        <f>IFERROR(IF(A6&lt;G6,3000,A6*C6*10),"")</f>
        <v>15000</v>
      </c>
      <c r="E6" s="26" t="s">
        <v>177</v>
      </c>
      <c r="G6">
        <v>100</v>
      </c>
      <c r="H6">
        <f>G6*C6*10</f>
        <v>15000</v>
      </c>
    </row>
    <row r="7" ht="24.6" customHeight="1" spans="1:8">
      <c r="A7" s="23">
        <f>IF(A14&lt;=500,A14-A6,400)</f>
        <v>400</v>
      </c>
      <c r="B7" s="27" t="s">
        <v>178</v>
      </c>
      <c r="C7" s="24">
        <v>13.8</v>
      </c>
      <c r="D7" s="25">
        <f>IFERROR(IF(A7&lt;G7,A7*C7*10,H7),"")</f>
        <v>55200</v>
      </c>
      <c r="E7" s="26"/>
      <c r="G7">
        <v>400</v>
      </c>
      <c r="H7">
        <f t="shared" ref="H7:H12" si="0">G7*C7*10</f>
        <v>55200</v>
      </c>
    </row>
    <row r="8" ht="24.6" customHeight="1" spans="1:8">
      <c r="A8" s="23">
        <f>IF(A14&lt;=1000,A14-A7-A6,500)</f>
        <v>500</v>
      </c>
      <c r="B8" s="27" t="s">
        <v>179</v>
      </c>
      <c r="C8" s="24">
        <v>12.5</v>
      </c>
      <c r="D8" s="25">
        <f t="shared" ref="D8:D12" si="1">IFERROR(IF(A8&lt;G8,A8*C8*10,H8),"")</f>
        <v>62500</v>
      </c>
      <c r="E8" s="26"/>
      <c r="G8">
        <v>500</v>
      </c>
      <c r="H8">
        <f t="shared" si="0"/>
        <v>62500</v>
      </c>
    </row>
    <row r="9" ht="24.6" customHeight="1" spans="1:8">
      <c r="A9" s="23">
        <f>IF(A14&lt;=2000,A14-A8-A7-A6,1000)</f>
        <v>1000</v>
      </c>
      <c r="B9" s="27" t="s">
        <v>180</v>
      </c>
      <c r="C9" s="24">
        <v>11.3</v>
      </c>
      <c r="D9" s="25">
        <f t="shared" si="1"/>
        <v>113000</v>
      </c>
      <c r="E9" s="26"/>
      <c r="G9">
        <v>1000</v>
      </c>
      <c r="H9">
        <f t="shared" si="0"/>
        <v>113000</v>
      </c>
    </row>
    <row r="10" ht="24.6" customHeight="1" spans="1:8">
      <c r="A10" s="23">
        <f>IF(A14&lt;=5000,A14-A9-A8-A7-A6,3000)</f>
        <v>3000</v>
      </c>
      <c r="B10" s="27" t="s">
        <v>181</v>
      </c>
      <c r="C10" s="24">
        <v>8.8</v>
      </c>
      <c r="D10" s="25">
        <f t="shared" si="1"/>
        <v>264000</v>
      </c>
      <c r="E10" s="26"/>
      <c r="G10">
        <v>3000</v>
      </c>
      <c r="H10">
        <f t="shared" si="0"/>
        <v>264000</v>
      </c>
    </row>
    <row r="11" ht="24.6" customHeight="1" spans="1:8">
      <c r="A11" s="23">
        <f>IF(A14&lt;=10000,A14-A10-A9-A8-A7-A6,5000)</f>
        <v>5000</v>
      </c>
      <c r="B11" s="27" t="s">
        <v>182</v>
      </c>
      <c r="C11" s="24">
        <v>7.5</v>
      </c>
      <c r="D11" s="25">
        <f t="shared" si="1"/>
        <v>375000</v>
      </c>
      <c r="E11" s="26"/>
      <c r="G11">
        <v>5000</v>
      </c>
      <c r="H11">
        <f t="shared" si="0"/>
        <v>375000</v>
      </c>
    </row>
    <row r="12" ht="24.6" customHeight="1" spans="1:8">
      <c r="A12" s="23">
        <f>IF(A14&lt;50000,A14-A11-A10-A9-A8-A7-A6,40000)</f>
        <v>40000</v>
      </c>
      <c r="B12" s="27" t="s">
        <v>183</v>
      </c>
      <c r="C12" s="24">
        <v>6.3</v>
      </c>
      <c r="D12" s="25">
        <f t="shared" si="1"/>
        <v>2520000</v>
      </c>
      <c r="E12" s="26"/>
      <c r="G12">
        <v>40000</v>
      </c>
      <c r="H12">
        <f t="shared" si="0"/>
        <v>2520000</v>
      </c>
    </row>
    <row r="13" ht="24.6" customHeight="1" spans="1:7">
      <c r="A13" s="23">
        <f>IF(A14&gt;50000,A14-50000,0)</f>
        <v>5000</v>
      </c>
      <c r="B13" s="27" t="s">
        <v>184</v>
      </c>
      <c r="C13" s="24">
        <v>5.5</v>
      </c>
      <c r="D13" s="25">
        <f>IFERROR(IF(A13&gt;0,A13*C13*10,0),"")</f>
        <v>275000</v>
      </c>
      <c r="E13" s="26"/>
      <c r="G13" s="38">
        <f>A14-50000</f>
        <v>5000</v>
      </c>
    </row>
    <row r="14" ht="24.6" customHeight="1" spans="1:5">
      <c r="A14" s="28">
        <v>55000</v>
      </c>
      <c r="B14" s="29" t="s">
        <v>222</v>
      </c>
      <c r="C14" s="30" t="s">
        <v>149</v>
      </c>
      <c r="D14" s="31">
        <f>SUM(D6:D13)</f>
        <v>3679700</v>
      </c>
      <c r="E14" s="32"/>
    </row>
  </sheetData>
  <sheetProtection sheet="1" selectLockedCells="1" objects="1"/>
  <mergeCells count="6">
    <mergeCell ref="A1:B1"/>
    <mergeCell ref="A3:E3"/>
    <mergeCell ref="B4:C4"/>
    <mergeCell ref="A4:A5"/>
    <mergeCell ref="D4:D5"/>
    <mergeCell ref="E4:E5"/>
  </mergeCells>
  <pageMargins left="0.75" right="0.75" top="1" bottom="1" header="0.5" footer="0.5"/>
  <pageSetup paperSize="9" orientation="landscape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tabColor rgb="FFFF0000"/>
  </sheetPr>
  <dimension ref="A1:E13"/>
  <sheetViews>
    <sheetView workbookViewId="0">
      <selection activeCell="E20" sqref="E20"/>
    </sheetView>
  </sheetViews>
  <sheetFormatPr defaultColWidth="9" defaultRowHeight="14.25" outlineLevelCol="4"/>
  <cols>
    <col min="1" max="1" width="22.375" customWidth="1"/>
    <col min="2" max="2" width="27" customWidth="1"/>
    <col min="3" max="3" width="14.375" customWidth="1"/>
    <col min="4" max="4" width="14.75" customWidth="1"/>
    <col min="5" max="5" width="14.875" customWidth="1"/>
  </cols>
  <sheetData>
    <row r="1" ht="24.75" customHeight="1" spans="1:5">
      <c r="A1" s="13" t="s">
        <v>172</v>
      </c>
      <c r="B1" s="13"/>
      <c r="C1" s="14"/>
      <c r="D1" s="14"/>
      <c r="E1" s="14"/>
    </row>
    <row r="2" ht="24" customHeight="1" spans="1:5">
      <c r="A2" s="12" t="s">
        <v>102</v>
      </c>
      <c r="B2" s="13"/>
      <c r="C2" s="14"/>
      <c r="D2" s="14"/>
      <c r="E2" s="14"/>
    </row>
    <row r="3" ht="22.5" customHeight="1" spans="1:5">
      <c r="A3" s="15" t="s">
        <v>223</v>
      </c>
      <c r="B3" s="15"/>
      <c r="C3" s="15"/>
      <c r="D3" s="15"/>
      <c r="E3" s="15"/>
    </row>
    <row r="4" ht="27" customHeight="1" spans="1:5">
      <c r="A4" s="16" t="s">
        <v>197</v>
      </c>
      <c r="B4" s="17" t="s">
        <v>4</v>
      </c>
      <c r="C4" s="17"/>
      <c r="D4" s="17" t="s">
        <v>138</v>
      </c>
      <c r="E4" s="18" t="s">
        <v>7</v>
      </c>
    </row>
    <row r="5" ht="21" customHeight="1" spans="1:5">
      <c r="A5" s="19"/>
      <c r="B5" s="20" t="s">
        <v>198</v>
      </c>
      <c r="C5" s="20" t="s">
        <v>106</v>
      </c>
      <c r="D5" s="21"/>
      <c r="E5" s="22"/>
    </row>
    <row r="6" ht="24.6" customHeight="1" spans="1:5">
      <c r="A6" s="23" t="str">
        <f>IF(A13&gt;0,IF(A13&lt;=100,A13,""),"")</f>
        <v/>
      </c>
      <c r="B6" s="24" t="s">
        <v>190</v>
      </c>
      <c r="C6" s="24">
        <v>15</v>
      </c>
      <c r="D6" s="25" t="str">
        <f>IF(A6&lt;=16.67,2000,IF(A6="","",A6*C6*10))</f>
        <v/>
      </c>
      <c r="E6" s="26" t="s">
        <v>177</v>
      </c>
    </row>
    <row r="7" ht="24.6" customHeight="1" spans="1:5">
      <c r="A7" s="23" t="str">
        <f>IF(A13&gt;100,IF(A13&lt;=500,A13,""),"")</f>
        <v/>
      </c>
      <c r="B7" s="27" t="s">
        <v>191</v>
      </c>
      <c r="C7" s="24">
        <v>13.8</v>
      </c>
      <c r="D7" s="25" t="str">
        <f>IF(A7="","",12000+(A7-100)*C7*10)</f>
        <v/>
      </c>
      <c r="E7" s="26"/>
    </row>
    <row r="8" ht="24.6" customHeight="1" spans="1:5">
      <c r="A8" s="23" t="str">
        <f>IF(A13&gt;500,IF(A13&lt;=1000,A13,""),"")</f>
        <v/>
      </c>
      <c r="B8" s="27" t="s">
        <v>192</v>
      </c>
      <c r="C8" s="24">
        <v>12.5</v>
      </c>
      <c r="D8" s="25" t="str">
        <f>IF(A8="","",56000+(A8-500)*C8*10)</f>
        <v/>
      </c>
      <c r="E8" s="26"/>
    </row>
    <row r="9" ht="24.6" customHeight="1" spans="1:5">
      <c r="A9" s="23" t="str">
        <f>IF(A13&gt;1000,IF(A13&lt;=2000,A13,""),"")</f>
        <v/>
      </c>
      <c r="B9" s="34" t="s">
        <v>193</v>
      </c>
      <c r="C9" s="34">
        <v>11.3</v>
      </c>
      <c r="D9" s="35" t="str">
        <f>IF(A9="","",106000+(A9-1000)*C9*10)</f>
        <v/>
      </c>
      <c r="E9" s="26"/>
    </row>
    <row r="10" ht="24.6" customHeight="1" spans="1:5">
      <c r="A10" s="23" t="str">
        <f>IF(A13&gt;2000,IF(A13&lt;=5000,A13,""),"")</f>
        <v/>
      </c>
      <c r="B10" s="34" t="s">
        <v>194</v>
      </c>
      <c r="C10" s="34">
        <v>8.8</v>
      </c>
      <c r="D10" s="35" t="str">
        <f>IF(A10="","",196000+(A10-2000)*C10*10)</f>
        <v/>
      </c>
      <c r="E10" s="26"/>
    </row>
    <row r="11" ht="24.6" customHeight="1" spans="1:5">
      <c r="A11" s="23" t="str">
        <f>IF(A13&gt;5000,IF(A13&lt;=10000,A13,""),"")</f>
        <v/>
      </c>
      <c r="B11" s="34" t="s">
        <v>195</v>
      </c>
      <c r="C11" s="34">
        <v>7.5</v>
      </c>
      <c r="D11" s="35" t="str">
        <f>IF(A11="","",406000+(A11-5000)*C11*10)</f>
        <v/>
      </c>
      <c r="E11" s="26"/>
    </row>
    <row r="12" s="39" customFormat="1" ht="24.6" customHeight="1" spans="1:5">
      <c r="A12" s="40" t="str">
        <f>IF(A13&gt;10000,A13,"")</f>
        <v/>
      </c>
      <c r="B12" s="41" t="s">
        <v>21</v>
      </c>
      <c r="C12" s="41">
        <v>5</v>
      </c>
      <c r="D12" s="42" t="str">
        <f>IF(A12="","",706000+(A12-10000)*C12*10)</f>
        <v/>
      </c>
      <c r="E12" s="43"/>
    </row>
    <row r="13" ht="24.6" customHeight="1" spans="1:5">
      <c r="A13" s="28"/>
      <c r="B13" s="29" t="s">
        <v>199</v>
      </c>
      <c r="C13" s="36" t="s">
        <v>149</v>
      </c>
      <c r="D13" s="31">
        <f>SUM(D6:D12)</f>
        <v>0</v>
      </c>
      <c r="E13" s="32"/>
    </row>
  </sheetData>
  <mergeCells count="6">
    <mergeCell ref="A1:B1"/>
    <mergeCell ref="A3:E3"/>
    <mergeCell ref="B4:C4"/>
    <mergeCell ref="A4:A5"/>
    <mergeCell ref="D4:D5"/>
    <mergeCell ref="E4:E5"/>
  </mergeCells>
  <pageMargins left="0.75" right="0.75" top="1" bottom="1" header="0.5" footer="0.5"/>
  <pageSetup paperSize="9" orientation="landscape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7">
    <tabColor rgb="FFFF0000"/>
  </sheetPr>
  <dimension ref="A1:H14"/>
  <sheetViews>
    <sheetView topLeftCell="A5" workbookViewId="0">
      <selection activeCell="A14" sqref="A14"/>
    </sheetView>
  </sheetViews>
  <sheetFormatPr defaultColWidth="9" defaultRowHeight="14.25" outlineLevelCol="7"/>
  <cols>
    <col min="1" max="1" width="22.375" customWidth="1"/>
    <col min="2" max="2" width="27" customWidth="1"/>
    <col min="3" max="3" width="14.375" customWidth="1"/>
    <col min="4" max="4" width="14.75" customWidth="1"/>
    <col min="5" max="5" width="14.875" customWidth="1"/>
    <col min="7" max="7" width="8.625" hidden="1" customWidth="1"/>
    <col min="8" max="8" width="9" hidden="1" customWidth="1"/>
  </cols>
  <sheetData>
    <row r="1" ht="24.75" customHeight="1" spans="1:5">
      <c r="A1" s="13" t="s">
        <v>172</v>
      </c>
      <c r="B1" s="13"/>
      <c r="C1" s="14"/>
      <c r="D1" s="14"/>
      <c r="E1" s="14"/>
    </row>
    <row r="2" ht="24" customHeight="1" spans="1:5">
      <c r="A2" s="12" t="s">
        <v>102</v>
      </c>
      <c r="B2" s="13"/>
      <c r="C2" s="14"/>
      <c r="D2" s="14"/>
      <c r="E2" s="14"/>
    </row>
    <row r="3" ht="22.5" customHeight="1" spans="1:5">
      <c r="A3" s="15" t="s">
        <v>224</v>
      </c>
      <c r="B3" s="15"/>
      <c r="C3" s="15"/>
      <c r="D3" s="15"/>
      <c r="E3" s="15"/>
    </row>
    <row r="4" ht="27" customHeight="1" spans="1:5">
      <c r="A4" s="16" t="s">
        <v>197</v>
      </c>
      <c r="B4" s="17" t="s">
        <v>4</v>
      </c>
      <c r="C4" s="17"/>
      <c r="D4" s="17" t="s">
        <v>138</v>
      </c>
      <c r="E4" s="18" t="s">
        <v>7</v>
      </c>
    </row>
    <row r="5" ht="21" customHeight="1" spans="1:5">
      <c r="A5" s="19"/>
      <c r="B5" s="20" t="s">
        <v>198</v>
      </c>
      <c r="C5" s="20" t="s">
        <v>106</v>
      </c>
      <c r="D5" s="21"/>
      <c r="E5" s="22"/>
    </row>
    <row r="6" ht="24.6" customHeight="1" spans="1:8">
      <c r="A6" s="23">
        <f>IF(A14&lt;=100,A14,100)</f>
        <v>0</v>
      </c>
      <c r="B6" s="24" t="s">
        <v>176</v>
      </c>
      <c r="C6" s="24">
        <v>14.4</v>
      </c>
      <c r="D6" s="25">
        <f>IFERROR(IF(A6&lt;G6,3000,A6*C6*10),"")</f>
        <v>3000</v>
      </c>
      <c r="E6" s="26" t="s">
        <v>177</v>
      </c>
      <c r="G6">
        <v>100</v>
      </c>
      <c r="H6">
        <f>G6*C6*10</f>
        <v>14400</v>
      </c>
    </row>
    <row r="7" ht="24.6" customHeight="1" spans="1:8">
      <c r="A7" s="23">
        <f>IF(A14&lt;=500,A14-A6,400)</f>
        <v>0</v>
      </c>
      <c r="B7" s="27" t="s">
        <v>178</v>
      </c>
      <c r="C7" s="24">
        <v>13.2</v>
      </c>
      <c r="D7" s="25">
        <f>IFERROR(IF(A7&lt;G7,A7*C7*10,H7),"")</f>
        <v>0</v>
      </c>
      <c r="E7" s="26"/>
      <c r="G7">
        <v>400</v>
      </c>
      <c r="H7">
        <f t="shared" ref="H7:H12" si="0">G7*C7*10</f>
        <v>52800</v>
      </c>
    </row>
    <row r="8" ht="24.6" customHeight="1" spans="1:8">
      <c r="A8" s="23">
        <f>IF(A14&lt;=1000,A14-A7-A6,500)</f>
        <v>0</v>
      </c>
      <c r="B8" s="27" t="s">
        <v>179</v>
      </c>
      <c r="C8" s="24">
        <v>12</v>
      </c>
      <c r="D8" s="25">
        <f t="shared" ref="D8:D12" si="1">IFERROR(IF(A8&lt;G8,A8*C8*10,H8),"")</f>
        <v>0</v>
      </c>
      <c r="E8" s="26"/>
      <c r="G8">
        <v>500</v>
      </c>
      <c r="H8">
        <f t="shared" si="0"/>
        <v>60000</v>
      </c>
    </row>
    <row r="9" ht="24.6" customHeight="1" spans="1:8">
      <c r="A9" s="23">
        <f>IF(A14&lt;=2000,A14-A8-A7-A6,1000)</f>
        <v>0</v>
      </c>
      <c r="B9" s="27" t="s">
        <v>180</v>
      </c>
      <c r="C9" s="24">
        <v>10.8</v>
      </c>
      <c r="D9" s="25">
        <f t="shared" si="1"/>
        <v>0</v>
      </c>
      <c r="E9" s="26"/>
      <c r="G9">
        <v>1000</v>
      </c>
      <c r="H9">
        <f t="shared" si="0"/>
        <v>108000</v>
      </c>
    </row>
    <row r="10" ht="24.6" customHeight="1" spans="1:8">
      <c r="A10" s="23">
        <f>IF(A14&lt;=5000,A14-A9-A8-A7-A6,3000)</f>
        <v>0</v>
      </c>
      <c r="B10" s="27" t="s">
        <v>181</v>
      </c>
      <c r="C10" s="24">
        <v>8.4</v>
      </c>
      <c r="D10" s="25">
        <f t="shared" si="1"/>
        <v>0</v>
      </c>
      <c r="E10" s="26"/>
      <c r="G10">
        <v>3000</v>
      </c>
      <c r="H10">
        <f t="shared" si="0"/>
        <v>252000</v>
      </c>
    </row>
    <row r="11" ht="24.6" customHeight="1" spans="1:8">
      <c r="A11" s="23">
        <f>IF(A14&lt;=10000,A14-A10-A9-A8-A7-A6,5000)</f>
        <v>0</v>
      </c>
      <c r="B11" s="27" t="s">
        <v>182</v>
      </c>
      <c r="C11" s="24">
        <v>7.2</v>
      </c>
      <c r="D11" s="25">
        <f t="shared" si="1"/>
        <v>0</v>
      </c>
      <c r="E11" s="26"/>
      <c r="G11">
        <v>5000</v>
      </c>
      <c r="H11">
        <f t="shared" si="0"/>
        <v>360000</v>
      </c>
    </row>
    <row r="12" ht="24.6" customHeight="1" spans="1:8">
      <c r="A12" s="23">
        <f>IF(A14&lt;50000,A14-A11-A10-A9-A8-A7-A6,40000)</f>
        <v>0</v>
      </c>
      <c r="B12" s="27" t="s">
        <v>183</v>
      </c>
      <c r="C12" s="24">
        <v>6</v>
      </c>
      <c r="D12" s="25">
        <f t="shared" si="1"/>
        <v>0</v>
      </c>
      <c r="E12" s="26"/>
      <c r="G12">
        <v>40000</v>
      </c>
      <c r="H12">
        <f t="shared" si="0"/>
        <v>2400000</v>
      </c>
    </row>
    <row r="13" ht="24.6" customHeight="1" spans="1:7">
      <c r="A13" s="23">
        <f>IF(A14&gt;50000,A14-50000,0)</f>
        <v>0</v>
      </c>
      <c r="B13" s="27" t="s">
        <v>184</v>
      </c>
      <c r="C13" s="24">
        <v>5</v>
      </c>
      <c r="D13" s="25">
        <f>IFERROR(IF(A13&gt;0,A13*C13*10,0),"")</f>
        <v>0</v>
      </c>
      <c r="E13" s="26"/>
      <c r="G13" s="38">
        <f>A14-50000</f>
        <v>-50000</v>
      </c>
    </row>
    <row r="14" ht="24.6" customHeight="1" spans="1:5">
      <c r="A14" s="28"/>
      <c r="B14" s="29" t="s">
        <v>225</v>
      </c>
      <c r="C14" s="30" t="s">
        <v>149</v>
      </c>
      <c r="D14" s="31">
        <f>SUM(D6:D13)</f>
        <v>3000</v>
      </c>
      <c r="E14" s="32"/>
    </row>
  </sheetData>
  <sheetProtection sheet="1" selectLockedCells="1" objects="1"/>
  <mergeCells count="6">
    <mergeCell ref="A1:B1"/>
    <mergeCell ref="A3:E3"/>
    <mergeCell ref="B4:C4"/>
    <mergeCell ref="A4:A5"/>
    <mergeCell ref="D4:D5"/>
    <mergeCell ref="E4:E5"/>
  </mergeCells>
  <pageMargins left="0.75" right="0.75" top="1" bottom="1" header="0.5" footer="0.5"/>
  <pageSetup paperSize="9" orientation="landscape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>
    <tabColor rgb="FFFF0000"/>
  </sheetPr>
  <dimension ref="A1:H15"/>
  <sheetViews>
    <sheetView workbookViewId="0">
      <selection activeCell="A14" sqref="A14"/>
    </sheetView>
  </sheetViews>
  <sheetFormatPr defaultColWidth="9" defaultRowHeight="14.25" outlineLevelCol="7"/>
  <cols>
    <col min="1" max="1" width="22.375" customWidth="1"/>
    <col min="2" max="2" width="27" customWidth="1"/>
    <col min="3" max="3" width="14.375" customWidth="1"/>
    <col min="4" max="4" width="14.75" customWidth="1"/>
    <col min="5" max="5" width="14.875" customWidth="1"/>
    <col min="7" max="8" width="8.625" hidden="1" customWidth="1"/>
  </cols>
  <sheetData>
    <row r="1" ht="24.75" customHeight="1" spans="1:5">
      <c r="A1" s="13" t="s">
        <v>172</v>
      </c>
      <c r="B1" s="13"/>
      <c r="C1" s="14"/>
      <c r="D1" s="14"/>
      <c r="E1" s="14"/>
    </row>
    <row r="2" ht="24" customHeight="1" spans="1:5">
      <c r="A2" s="12" t="s">
        <v>102</v>
      </c>
      <c r="B2" s="13"/>
      <c r="C2" s="14"/>
      <c r="D2" s="14"/>
      <c r="E2" s="14"/>
    </row>
    <row r="3" ht="22.5" customHeight="1" spans="1:5">
      <c r="A3" s="15" t="s">
        <v>226</v>
      </c>
      <c r="B3" s="15"/>
      <c r="C3" s="15"/>
      <c r="D3" s="15"/>
      <c r="E3" s="15"/>
    </row>
    <row r="4" ht="27" customHeight="1" spans="1:5">
      <c r="A4" s="16" t="s">
        <v>197</v>
      </c>
      <c r="B4" s="17" t="s">
        <v>4</v>
      </c>
      <c r="C4" s="17"/>
      <c r="D4" s="17" t="s">
        <v>138</v>
      </c>
      <c r="E4" s="18" t="s">
        <v>7</v>
      </c>
    </row>
    <row r="5" ht="21" customHeight="1" spans="1:5">
      <c r="A5" s="19"/>
      <c r="B5" s="20" t="s">
        <v>198</v>
      </c>
      <c r="C5" s="20" t="s">
        <v>106</v>
      </c>
      <c r="D5" s="21"/>
      <c r="E5" s="22"/>
    </row>
    <row r="6" ht="24.6" customHeight="1" spans="1:8">
      <c r="A6" s="23">
        <f>IF(A14&lt;=100,A14,100)</f>
        <v>100</v>
      </c>
      <c r="B6" s="24" t="s">
        <v>176</v>
      </c>
      <c r="C6" s="24">
        <v>4.2</v>
      </c>
      <c r="D6" s="25">
        <f>IFERROR(IF(A6&lt;G6,3000,A6*C6*10),"")</f>
        <v>4200</v>
      </c>
      <c r="E6" s="26" t="s">
        <v>177</v>
      </c>
      <c r="G6">
        <v>100</v>
      </c>
      <c r="H6">
        <f>G6*C6*10</f>
        <v>4200</v>
      </c>
    </row>
    <row r="7" ht="24.6" customHeight="1" spans="1:8">
      <c r="A7" s="23">
        <f>IF(A14&lt;=500,A14-A6,400)</f>
        <v>400</v>
      </c>
      <c r="B7" s="27" t="s">
        <v>178</v>
      </c>
      <c r="C7" s="24">
        <v>3.8</v>
      </c>
      <c r="D7" s="25">
        <f>IFERROR(IF(A7&lt;G7,A7*C7*10,H7),"")</f>
        <v>15200</v>
      </c>
      <c r="E7" s="26"/>
      <c r="G7">
        <v>400</v>
      </c>
      <c r="H7">
        <f t="shared" ref="H7:H12" si="0">G7*C7*10</f>
        <v>15200</v>
      </c>
    </row>
    <row r="8" ht="24.6" customHeight="1" spans="1:8">
      <c r="A8" s="23">
        <f>IF(A14&lt;=1000,A14-A7-A6,500)</f>
        <v>500</v>
      </c>
      <c r="B8" s="27" t="s">
        <v>179</v>
      </c>
      <c r="C8" s="24">
        <v>3.3</v>
      </c>
      <c r="D8" s="25">
        <f t="shared" ref="D8:D12" si="1">IFERROR(IF(A8&lt;G8,A8*C8*10,H8),"")</f>
        <v>16500</v>
      </c>
      <c r="E8" s="26"/>
      <c r="G8">
        <v>500</v>
      </c>
      <c r="H8">
        <f t="shared" si="0"/>
        <v>16500</v>
      </c>
    </row>
    <row r="9" ht="24.6" customHeight="1" spans="1:8">
      <c r="A9" s="23">
        <f>IF(A14&lt;=2000,A14-A8-A7-A6,1000)</f>
        <v>1000</v>
      </c>
      <c r="B9" s="27" t="s">
        <v>180</v>
      </c>
      <c r="C9" s="24">
        <v>2.9</v>
      </c>
      <c r="D9" s="25">
        <f t="shared" si="1"/>
        <v>29000</v>
      </c>
      <c r="E9" s="26"/>
      <c r="G9">
        <v>1000</v>
      </c>
      <c r="H9">
        <f t="shared" si="0"/>
        <v>29000</v>
      </c>
    </row>
    <row r="10" ht="24.6" customHeight="1" spans="1:8">
      <c r="A10" s="23">
        <f>IF(A14&lt;=5000,A14-A9-A8-A7-A6,3000)</f>
        <v>3000</v>
      </c>
      <c r="B10" s="27" t="s">
        <v>181</v>
      </c>
      <c r="C10" s="24">
        <v>2.4</v>
      </c>
      <c r="D10" s="25">
        <f t="shared" si="1"/>
        <v>72000</v>
      </c>
      <c r="E10" s="26"/>
      <c r="G10">
        <v>3000</v>
      </c>
      <c r="H10">
        <f t="shared" si="0"/>
        <v>72000</v>
      </c>
    </row>
    <row r="11" ht="24.6" customHeight="1" spans="1:8">
      <c r="A11" s="23">
        <f>IF(A14&lt;=10000,A14-A10-A9-A8-A7-A6,5000)</f>
        <v>554</v>
      </c>
      <c r="B11" s="27" t="s">
        <v>182</v>
      </c>
      <c r="C11" s="24">
        <v>2</v>
      </c>
      <c r="D11" s="25">
        <f t="shared" si="1"/>
        <v>11080</v>
      </c>
      <c r="E11" s="26"/>
      <c r="G11">
        <v>5000</v>
      </c>
      <c r="H11">
        <f t="shared" si="0"/>
        <v>100000</v>
      </c>
    </row>
    <row r="12" ht="24.6" customHeight="1" spans="1:8">
      <c r="A12" s="23">
        <f>IF(A14&lt;50000,A14-A11-A10-A9-A8-A7-A6,40000)</f>
        <v>0</v>
      </c>
      <c r="B12" s="27" t="s">
        <v>183</v>
      </c>
      <c r="C12" s="24">
        <v>1.5</v>
      </c>
      <c r="D12" s="25">
        <f t="shared" si="1"/>
        <v>0</v>
      </c>
      <c r="E12" s="26"/>
      <c r="G12">
        <v>40000</v>
      </c>
      <c r="H12">
        <f t="shared" si="0"/>
        <v>600000</v>
      </c>
    </row>
    <row r="13" ht="24.6" customHeight="1" spans="1:7">
      <c r="A13" s="23">
        <f>IF(A14&gt;50000,A14-50000,0)</f>
        <v>0</v>
      </c>
      <c r="B13" s="27" t="s">
        <v>184</v>
      </c>
      <c r="C13" s="24">
        <v>1.5</v>
      </c>
      <c r="D13" s="25">
        <f>IFERROR(IF(A13&gt;0,A13*C13*10,0),"")</f>
        <v>0</v>
      </c>
      <c r="E13" s="26"/>
      <c r="G13" s="38">
        <f>A14-50000</f>
        <v>-44446</v>
      </c>
    </row>
    <row r="14" ht="24.6" customHeight="1" spans="1:5">
      <c r="A14" s="28">
        <v>5554</v>
      </c>
      <c r="B14" s="29" t="s">
        <v>199</v>
      </c>
      <c r="C14" s="30" t="s">
        <v>149</v>
      </c>
      <c r="D14" s="31">
        <f>SUM(D6:D13)</f>
        <v>147980</v>
      </c>
      <c r="E14" s="32"/>
    </row>
    <row r="15" spans="1:1">
      <c r="A15" s="33" t="s">
        <v>227</v>
      </c>
    </row>
  </sheetData>
  <sheetProtection sheet="1" selectLockedCells="1" objects="1"/>
  <mergeCells count="6">
    <mergeCell ref="A1:B1"/>
    <mergeCell ref="A3:E3"/>
    <mergeCell ref="B4:C4"/>
    <mergeCell ref="A4:A5"/>
    <mergeCell ref="D4:D5"/>
    <mergeCell ref="E4:E5"/>
  </mergeCells>
  <pageMargins left="0.75" right="0.75" top="1" bottom="1" header="0.5" footer="0.5"/>
  <pageSetup paperSize="9" orientation="landscape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tabColor rgb="FFFF0000"/>
  </sheetPr>
  <dimension ref="A1:E14"/>
  <sheetViews>
    <sheetView workbookViewId="0">
      <selection activeCell="I13" sqref="I13"/>
    </sheetView>
  </sheetViews>
  <sheetFormatPr defaultColWidth="9" defaultRowHeight="14.25" outlineLevelCol="4"/>
  <cols>
    <col min="1" max="1" width="22.375" customWidth="1"/>
    <col min="2" max="2" width="27" customWidth="1"/>
    <col min="3" max="3" width="14.375" customWidth="1"/>
    <col min="4" max="4" width="14.75" customWidth="1"/>
    <col min="5" max="5" width="14.875" customWidth="1"/>
  </cols>
  <sheetData>
    <row r="1" ht="24.75" customHeight="1" spans="1:5">
      <c r="A1" s="13" t="s">
        <v>172</v>
      </c>
      <c r="B1" s="13"/>
      <c r="C1" s="14"/>
      <c r="D1" s="14"/>
      <c r="E1" s="14"/>
    </row>
    <row r="2" ht="24" customHeight="1" spans="1:5">
      <c r="A2" s="12" t="s">
        <v>102</v>
      </c>
      <c r="B2" s="13"/>
      <c r="C2" s="14"/>
      <c r="D2" s="14"/>
      <c r="E2" s="14"/>
    </row>
    <row r="3" ht="22.5" customHeight="1" spans="1:5">
      <c r="A3" s="15" t="s">
        <v>226</v>
      </c>
      <c r="B3" s="15"/>
      <c r="C3" s="15"/>
      <c r="D3" s="15"/>
      <c r="E3" s="15"/>
    </row>
    <row r="4" ht="27" customHeight="1" spans="1:5">
      <c r="A4" s="16" t="s">
        <v>197</v>
      </c>
      <c r="B4" s="17" t="s">
        <v>4</v>
      </c>
      <c r="C4" s="17"/>
      <c r="D4" s="17" t="s">
        <v>138</v>
      </c>
      <c r="E4" s="18" t="s">
        <v>7</v>
      </c>
    </row>
    <row r="5" ht="21" customHeight="1" spans="1:5">
      <c r="A5" s="19"/>
      <c r="B5" s="20" t="s">
        <v>198</v>
      </c>
      <c r="C5" s="20" t="s">
        <v>106</v>
      </c>
      <c r="D5" s="21"/>
      <c r="E5" s="22"/>
    </row>
    <row r="6" ht="24.6" customHeight="1" spans="1:5">
      <c r="A6" s="23" t="str">
        <f>IF(A13&gt;0,IF(A13&lt;=100,A13,""),"")</f>
        <v/>
      </c>
      <c r="B6" s="24" t="s">
        <v>190</v>
      </c>
      <c r="C6" s="24">
        <v>4.2</v>
      </c>
      <c r="D6" s="25" t="str">
        <f>IF(A6&lt;=100,2000,IF(A6="","",A6*C6*10))</f>
        <v/>
      </c>
      <c r="E6" s="26" t="s">
        <v>177</v>
      </c>
    </row>
    <row r="7" ht="24.6" customHeight="1" spans="1:5">
      <c r="A7" s="23" t="str">
        <f>IF(A13&gt;100,IF(A13&lt;=500,A13,""),"")</f>
        <v/>
      </c>
      <c r="B7" s="27" t="s">
        <v>191</v>
      </c>
      <c r="C7" s="24">
        <v>3.8</v>
      </c>
      <c r="D7" s="25" t="str">
        <f>IF(A7&lt;=150,2000,IF(A7="","",1400+(A7-100)*C7*10))</f>
        <v/>
      </c>
      <c r="E7" s="26"/>
    </row>
    <row r="8" ht="24.6" customHeight="1" spans="1:5">
      <c r="A8" s="23" t="str">
        <f>IF(A13&gt;500,IF(A13&lt;=1000,A13,""),"")</f>
        <v/>
      </c>
      <c r="B8" s="27" t="s">
        <v>192</v>
      </c>
      <c r="C8" s="24">
        <v>3.3</v>
      </c>
      <c r="D8" s="25" t="str">
        <f>IF(A8="","",6200+(A8-500)*C8*10)</f>
        <v/>
      </c>
      <c r="E8" s="26"/>
    </row>
    <row r="9" ht="24.6" customHeight="1" spans="1:5">
      <c r="A9" s="23" t="str">
        <f>IF(A13&gt;1000,IF(A13&lt;=2000,A13,""),"")</f>
        <v/>
      </c>
      <c r="B9" s="34" t="s">
        <v>193</v>
      </c>
      <c r="C9" s="34">
        <v>2.9</v>
      </c>
      <c r="D9" s="35" t="str">
        <f>IF(A9="","",11200+(A9-1000)*C9*10)</f>
        <v/>
      </c>
      <c r="E9" s="26"/>
    </row>
    <row r="10" ht="24.6" customHeight="1" spans="1:5">
      <c r="A10" s="23" t="str">
        <f>IF(A13&gt;2000,IF(A13&lt;=5000,A13,""),"")</f>
        <v/>
      </c>
      <c r="B10" s="34" t="s">
        <v>194</v>
      </c>
      <c r="C10" s="34">
        <v>2.4</v>
      </c>
      <c r="D10" s="35" t="str">
        <f>IF(A10="","",19200+(A10-2000)*C10*10)</f>
        <v/>
      </c>
      <c r="E10" s="26"/>
    </row>
    <row r="11" ht="24.6" customHeight="1" spans="1:5">
      <c r="A11" s="23" t="str">
        <f>IF(A13&gt;5000,IF(A13&lt;=10000,A13,""),"")</f>
        <v/>
      </c>
      <c r="B11" s="34" t="s">
        <v>195</v>
      </c>
      <c r="C11" s="34">
        <v>2</v>
      </c>
      <c r="D11" s="35" t="str">
        <f>IF(A11="","",37200+(A11-5000)*C11*10)</f>
        <v/>
      </c>
      <c r="E11" s="26"/>
    </row>
    <row r="12" ht="24.6" customHeight="1" spans="1:5">
      <c r="A12" s="23" t="str">
        <f>IF(A13&gt;10000,A13,"")</f>
        <v/>
      </c>
      <c r="B12" s="34" t="s">
        <v>21</v>
      </c>
      <c r="C12" s="34">
        <v>1.5</v>
      </c>
      <c r="D12" s="35" t="str">
        <f>IF(A12="","",62200+(A12-10000)*C12*10)</f>
        <v/>
      </c>
      <c r="E12" s="26"/>
    </row>
    <row r="13" ht="24.6" customHeight="1" spans="1:5">
      <c r="A13" s="28"/>
      <c r="B13" s="29" t="s">
        <v>199</v>
      </c>
      <c r="C13" s="36" t="s">
        <v>149</v>
      </c>
      <c r="D13" s="31">
        <f>SUM(D6:D12)</f>
        <v>0</v>
      </c>
      <c r="E13" s="32"/>
    </row>
    <row r="14" spans="1:1">
      <c r="A14" s="33" t="s">
        <v>227</v>
      </c>
    </row>
  </sheetData>
  <mergeCells count="6">
    <mergeCell ref="A1:B1"/>
    <mergeCell ref="A3:E3"/>
    <mergeCell ref="B4:C4"/>
    <mergeCell ref="A4:A5"/>
    <mergeCell ref="D4:D5"/>
    <mergeCell ref="E4:E5"/>
  </mergeCells>
  <pageMargins left="0.75" right="0.75" top="1" bottom="1" header="0.5" footer="0.5"/>
  <pageSetup paperSize="9" orientation="landscape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E16"/>
  <sheetViews>
    <sheetView topLeftCell="A2" workbookViewId="0">
      <selection activeCell="G13" sqref="G13"/>
    </sheetView>
  </sheetViews>
  <sheetFormatPr defaultColWidth="9" defaultRowHeight="14.25" outlineLevelCol="4"/>
  <cols>
    <col min="1" max="1" width="22.375" customWidth="1"/>
    <col min="2" max="2" width="27" customWidth="1"/>
    <col min="3" max="3" width="14.375" customWidth="1"/>
    <col min="4" max="4" width="14.75" customWidth="1"/>
    <col min="5" max="5" width="14.875" customWidth="1"/>
  </cols>
  <sheetData>
    <row r="1" ht="24.75" customHeight="1" spans="1:5">
      <c r="A1" s="13" t="s">
        <v>172</v>
      </c>
      <c r="B1" s="13"/>
      <c r="C1" s="14"/>
      <c r="D1" s="14"/>
      <c r="E1" s="14"/>
    </row>
    <row r="2" ht="24" customHeight="1" spans="1:5">
      <c r="A2" s="12" t="s">
        <v>102</v>
      </c>
      <c r="B2" s="13"/>
      <c r="C2" s="14"/>
      <c r="D2" s="14"/>
      <c r="E2" s="14"/>
    </row>
    <row r="3" ht="22.5" customHeight="1" spans="1:5">
      <c r="A3" s="15" t="s">
        <v>228</v>
      </c>
      <c r="B3" s="15"/>
      <c r="C3" s="15"/>
      <c r="D3" s="15"/>
      <c r="E3" s="15"/>
    </row>
    <row r="4" ht="27" customHeight="1" spans="1:5">
      <c r="A4" s="16" t="s">
        <v>197</v>
      </c>
      <c r="B4" s="17" t="s">
        <v>4</v>
      </c>
      <c r="C4" s="17"/>
      <c r="D4" s="17" t="s">
        <v>138</v>
      </c>
      <c r="E4" s="18" t="s">
        <v>7</v>
      </c>
    </row>
    <row r="5" ht="21" customHeight="1" spans="1:5">
      <c r="A5" s="19"/>
      <c r="B5" s="20" t="s">
        <v>198</v>
      </c>
      <c r="C5" s="20" t="s">
        <v>106</v>
      </c>
      <c r="D5" s="21"/>
      <c r="E5" s="22"/>
    </row>
    <row r="6" ht="24.6" customHeight="1" spans="1:5">
      <c r="A6" s="23" t="str">
        <f>IF(A13&gt;0,IF(A13&lt;=100,A13,""),"")</f>
        <v/>
      </c>
      <c r="B6" s="24" t="s">
        <v>190</v>
      </c>
      <c r="C6" s="24">
        <v>3.6</v>
      </c>
      <c r="D6" s="25" t="str">
        <f>IF(A6&lt;=55.56,2000,IF(A6="","",A6*C6*10))</f>
        <v/>
      </c>
      <c r="E6" s="26" t="s">
        <v>229</v>
      </c>
    </row>
    <row r="7" ht="24.6" customHeight="1" spans="1:5">
      <c r="A7" s="23" t="str">
        <f>IF(A13&gt;100,IF(A13&lt;=500,A13,""),"")</f>
        <v/>
      </c>
      <c r="B7" s="27" t="s">
        <v>191</v>
      </c>
      <c r="C7" s="24">
        <v>3.3</v>
      </c>
      <c r="D7" s="25" t="str">
        <f>IF(A7="","",3600+(A7-100)*C7*10)</f>
        <v/>
      </c>
      <c r="E7" s="26"/>
    </row>
    <row r="8" ht="24.6" customHeight="1" spans="1:5">
      <c r="A8" s="23" t="str">
        <f>IF(A13&gt;500,IF(A13&lt;=1000,A13,""),"")</f>
        <v/>
      </c>
      <c r="B8" s="27" t="s">
        <v>192</v>
      </c>
      <c r="C8" s="24">
        <v>3</v>
      </c>
      <c r="D8" s="25" t="str">
        <f>IF(A8="","",16800+(A8-500)*C8*10)</f>
        <v/>
      </c>
      <c r="E8" s="26"/>
    </row>
    <row r="9" ht="24.6" customHeight="1" spans="1:5">
      <c r="A9" s="23" t="str">
        <f>IF(A13&gt;1000,IF(A13&lt;=2000,A13,""),"")</f>
        <v/>
      </c>
      <c r="B9" s="34" t="s">
        <v>193</v>
      </c>
      <c r="C9" s="34">
        <v>2.7</v>
      </c>
      <c r="D9" s="35" t="str">
        <f>IF(A9="","",31800+(A9-1000)*C9*10)</f>
        <v/>
      </c>
      <c r="E9" s="26"/>
    </row>
    <row r="10" ht="24.6" customHeight="1" spans="1:5">
      <c r="A10" s="23">
        <f>IF(A13&gt;2000,IF(A13&lt;=5000,A13,""),"")</f>
        <v>3512.5786</v>
      </c>
      <c r="B10" s="34" t="s">
        <v>194</v>
      </c>
      <c r="C10" s="34">
        <v>2.4</v>
      </c>
      <c r="D10" s="35">
        <f>IF(A10="","",58800+(A10-2000)*C10*10)</f>
        <v>95101.8864</v>
      </c>
      <c r="E10" s="26"/>
    </row>
    <row r="11" ht="24.6" customHeight="1" spans="1:5">
      <c r="A11" s="23" t="str">
        <f>IF(A13&gt;5000,IF(A13&lt;=10000,A13,""),"")</f>
        <v/>
      </c>
      <c r="B11" s="34" t="s">
        <v>195</v>
      </c>
      <c r="C11" s="34">
        <v>2.1</v>
      </c>
      <c r="D11" s="35" t="str">
        <f>IF(A11="","",130800+(A11-5000)*C11*10)</f>
        <v/>
      </c>
      <c r="E11" s="26"/>
    </row>
    <row r="12" ht="24.6" customHeight="1" spans="1:5">
      <c r="A12" s="23" t="str">
        <f>IF(A13&gt;10000,A13,"")</f>
        <v/>
      </c>
      <c r="B12" s="34" t="s">
        <v>21</v>
      </c>
      <c r="C12" s="34">
        <v>1.8</v>
      </c>
      <c r="D12" s="35" t="str">
        <f>IF(A12="","",235800+(A12-10000)*C12*10)</f>
        <v/>
      </c>
      <c r="E12" s="26"/>
    </row>
    <row r="13" ht="24.6" customHeight="1" spans="1:5">
      <c r="A13" s="28">
        <v>3512.5786</v>
      </c>
      <c r="B13" s="29" t="s">
        <v>199</v>
      </c>
      <c r="C13" s="36" t="s">
        <v>149</v>
      </c>
      <c r="D13" s="31">
        <f>SUM(D6:D12)</f>
        <v>95101.8864</v>
      </c>
      <c r="E13" s="32"/>
    </row>
    <row r="15" spans="4:5">
      <c r="D15" s="33" t="s">
        <v>230</v>
      </c>
      <c r="E15">
        <v>0.7</v>
      </c>
    </row>
    <row r="16" spans="5:5">
      <c r="E16" s="37">
        <f>D13*E15</f>
        <v>66571.32048</v>
      </c>
    </row>
  </sheetData>
  <mergeCells count="6">
    <mergeCell ref="A1:B1"/>
    <mergeCell ref="A3:E3"/>
    <mergeCell ref="B4:C4"/>
    <mergeCell ref="A4:A5"/>
    <mergeCell ref="D4:D5"/>
    <mergeCell ref="E4:E5"/>
  </mergeCells>
  <pageMargins left="0.75" right="0.75" top="1" bottom="1" header="0.5" footer="0.5"/>
  <pageSetup paperSize="9" orientation="landscape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tabColor rgb="FFFF0000"/>
  </sheetPr>
  <dimension ref="A1:E14"/>
  <sheetViews>
    <sheetView topLeftCell="A4" workbookViewId="0">
      <selection activeCell="A14" sqref="A14"/>
    </sheetView>
  </sheetViews>
  <sheetFormatPr defaultColWidth="9" defaultRowHeight="14.25" outlineLevelCol="4"/>
  <cols>
    <col min="1" max="1" width="22.375" customWidth="1"/>
    <col min="2" max="2" width="27" customWidth="1"/>
    <col min="3" max="3" width="14.375" customWidth="1"/>
    <col min="4" max="4" width="14.75" customWidth="1"/>
    <col min="5" max="5" width="14.875" customWidth="1"/>
  </cols>
  <sheetData>
    <row r="1" ht="24.75" customHeight="1" spans="1:5">
      <c r="A1" s="13" t="s">
        <v>172</v>
      </c>
      <c r="B1" s="13"/>
      <c r="C1" s="14"/>
      <c r="D1" s="14"/>
      <c r="E1" s="14"/>
    </row>
    <row r="2" ht="24" customHeight="1" spans="1:5">
      <c r="A2" s="12" t="s">
        <v>132</v>
      </c>
      <c r="B2" s="13"/>
      <c r="C2" s="14"/>
      <c r="D2" s="14"/>
      <c r="E2" s="14"/>
    </row>
    <row r="3" ht="24" customHeight="1" spans="1:5">
      <c r="A3" s="12" t="s">
        <v>133</v>
      </c>
      <c r="B3" s="13"/>
      <c r="C3" s="14"/>
      <c r="D3" s="14"/>
      <c r="E3" s="14"/>
    </row>
    <row r="4" ht="22.5" customHeight="1" spans="1:5">
      <c r="A4" s="15" t="s">
        <v>231</v>
      </c>
      <c r="B4" s="15"/>
      <c r="C4" s="15"/>
      <c r="D4" s="15"/>
      <c r="E4" s="15"/>
    </row>
    <row r="5" ht="27" customHeight="1" spans="1:5">
      <c r="A5" s="16" t="s">
        <v>137</v>
      </c>
      <c r="B5" s="17" t="s">
        <v>4</v>
      </c>
      <c r="C5" s="17"/>
      <c r="D5" s="17" t="s">
        <v>138</v>
      </c>
      <c r="E5" s="18" t="s">
        <v>7</v>
      </c>
    </row>
    <row r="6" ht="21" customHeight="1" spans="1:5">
      <c r="A6" s="19"/>
      <c r="B6" s="20" t="s">
        <v>139</v>
      </c>
      <c r="C6" s="20" t="s">
        <v>106</v>
      </c>
      <c r="D6" s="21"/>
      <c r="E6" s="22"/>
    </row>
    <row r="7" ht="24.6" customHeight="1" spans="1:5">
      <c r="A7" s="23" t="str">
        <f>IF(A14&gt;0,IF(A14&lt;=100,A14,""),"")</f>
        <v/>
      </c>
      <c r="B7" s="24" t="s">
        <v>176</v>
      </c>
      <c r="C7" s="24">
        <v>7</v>
      </c>
      <c r="D7" s="25" t="str">
        <f>IF(A7&lt;28.57,2000,IF(A7="","",A7*C7*10))</f>
        <v/>
      </c>
      <c r="E7" s="26" t="s">
        <v>232</v>
      </c>
    </row>
    <row r="8" ht="24.6" customHeight="1" spans="1:5">
      <c r="A8" s="23" t="str">
        <f>IF(A14&gt;100,IF(A14&lt;=500,A14,""),"")</f>
        <v/>
      </c>
      <c r="B8" s="27" t="s">
        <v>178</v>
      </c>
      <c r="C8" s="24">
        <v>7</v>
      </c>
      <c r="D8" s="25" t="str">
        <f>IF(A8="","",A8*C8*10)</f>
        <v/>
      </c>
      <c r="E8" s="26"/>
    </row>
    <row r="9" ht="24.6" customHeight="1" spans="1:5">
      <c r="A9" s="23" t="str">
        <f>IF(A14&gt;500,IF(A14&lt;=1000,A14,""),"")</f>
        <v/>
      </c>
      <c r="B9" s="27" t="s">
        <v>179</v>
      </c>
      <c r="C9" s="24">
        <v>6</v>
      </c>
      <c r="D9" s="25" t="str">
        <f>IF(A9="","",35000+(A9-500)*C9*10)</f>
        <v/>
      </c>
      <c r="E9" s="26"/>
    </row>
    <row r="10" ht="24.6" customHeight="1" spans="1:5">
      <c r="A10" s="23" t="str">
        <f>IF(A14&gt;1000,IF(A14&lt;=2000,A14,""),"")</f>
        <v/>
      </c>
      <c r="B10" s="27" t="s">
        <v>180</v>
      </c>
      <c r="C10" s="24">
        <v>5</v>
      </c>
      <c r="D10" s="25" t="str">
        <f>IF(A10="","",65000+(A10-1000)*C10*10)</f>
        <v/>
      </c>
      <c r="E10" s="26"/>
    </row>
    <row r="11" ht="24.6" customHeight="1" spans="1:5">
      <c r="A11" s="23" t="str">
        <f>IF(A14&gt;2000,IF(A14&lt;=5000,A14,""),"")</f>
        <v/>
      </c>
      <c r="B11" s="27" t="s">
        <v>181</v>
      </c>
      <c r="C11" s="24">
        <v>4</v>
      </c>
      <c r="D11" s="25" t="str">
        <f>IF(A11="","",115000+(A11-2000)*C11*10)</f>
        <v/>
      </c>
      <c r="E11" s="26"/>
    </row>
    <row r="12" ht="24.6" customHeight="1" spans="1:5">
      <c r="A12" s="23" t="str">
        <f>IF(A14&gt;5000,IF(A14&lt;=10000,A14,""),"")</f>
        <v/>
      </c>
      <c r="B12" s="27" t="s">
        <v>182</v>
      </c>
      <c r="C12" s="24">
        <v>3</v>
      </c>
      <c r="D12" s="25" t="str">
        <f>IF(A12="","",235000+(A12-5000)*C12*10)</f>
        <v/>
      </c>
      <c r="E12" s="26"/>
    </row>
    <row r="13" ht="24.6" customHeight="1" spans="1:5">
      <c r="A13" s="23">
        <f>IF(A14&gt;10000,A14,"")</f>
        <v>25800</v>
      </c>
      <c r="B13" s="27" t="s">
        <v>21</v>
      </c>
      <c r="C13" s="24">
        <v>2</v>
      </c>
      <c r="D13" s="25">
        <f>IF(A13="","",385000+(A13-10000)*C13*10)</f>
        <v>701000</v>
      </c>
      <c r="E13" s="26"/>
    </row>
    <row r="14" ht="24.6" customHeight="1" spans="1:5">
      <c r="A14" s="28">
        <v>25800</v>
      </c>
      <c r="B14" s="29" t="s">
        <v>148</v>
      </c>
      <c r="C14" s="30" t="s">
        <v>149</v>
      </c>
      <c r="D14" s="31">
        <f>SUM(D7:D13)</f>
        <v>701000</v>
      </c>
      <c r="E14" s="32"/>
    </row>
  </sheetData>
  <sheetProtection sheet="1" selectLockedCells="1" objects="1"/>
  <mergeCells count="6">
    <mergeCell ref="A1:B1"/>
    <mergeCell ref="A4:E4"/>
    <mergeCell ref="B5:C5"/>
    <mergeCell ref="A5:A6"/>
    <mergeCell ref="D5:D6"/>
    <mergeCell ref="E5:E6"/>
  </mergeCells>
  <pageMargins left="0.75" right="0.75" top="1" bottom="1" header="0.5" footer="0.5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FF0000"/>
  </sheetPr>
  <dimension ref="A1:J22"/>
  <sheetViews>
    <sheetView showGridLines="0" topLeftCell="A3" workbookViewId="0">
      <selection activeCell="A13" sqref="A13"/>
    </sheetView>
  </sheetViews>
  <sheetFormatPr defaultColWidth="9" defaultRowHeight="14.25"/>
  <cols>
    <col min="1" max="1" width="13" style="122" customWidth="1"/>
    <col min="2" max="2" width="14.875" style="122" customWidth="1"/>
    <col min="3" max="3" width="19.5" style="122" customWidth="1"/>
    <col min="4" max="5" width="11.5" style="122" customWidth="1"/>
    <col min="6" max="6" width="17.75" style="122" customWidth="1"/>
    <col min="7" max="7" width="18.5" style="122" customWidth="1"/>
    <col min="8" max="8" width="25.125" style="122" customWidth="1"/>
    <col min="9" max="9" width="12.125" style="122" customWidth="1"/>
    <col min="10" max="16384" width="9" style="122"/>
  </cols>
  <sheetData>
    <row r="1" ht="15.75" customHeight="1" spans="1:2">
      <c r="A1" s="12" t="s">
        <v>0</v>
      </c>
      <c r="B1" s="12"/>
    </row>
    <row r="2" ht="18" customHeight="1" spans="1:1">
      <c r="A2" s="12" t="s">
        <v>1</v>
      </c>
    </row>
    <row r="3" ht="19.5" customHeight="1" spans="2:7">
      <c r="B3" s="15" t="s">
        <v>76</v>
      </c>
      <c r="C3" s="15"/>
      <c r="D3" s="15"/>
      <c r="E3" s="15"/>
      <c r="F3" s="15"/>
      <c r="G3" s="15"/>
    </row>
    <row r="4" s="121" customFormat="1" ht="20.1" customHeight="1" spans="1:8">
      <c r="A4" s="123" t="s">
        <v>77</v>
      </c>
      <c r="B4" s="124"/>
      <c r="C4" s="17" t="s">
        <v>4</v>
      </c>
      <c r="D4" s="17"/>
      <c r="E4" s="17"/>
      <c r="F4" s="17" t="s">
        <v>5</v>
      </c>
      <c r="G4" s="18" t="s">
        <v>6</v>
      </c>
      <c r="H4" s="125" t="s">
        <v>7</v>
      </c>
    </row>
    <row r="5" s="121" customFormat="1" ht="20.1" customHeight="1" spans="1:8">
      <c r="A5" s="126"/>
      <c r="B5" s="127"/>
      <c r="C5" s="20" t="s">
        <v>78</v>
      </c>
      <c r="D5" s="20" t="s">
        <v>9</v>
      </c>
      <c r="E5" s="20" t="s">
        <v>79</v>
      </c>
      <c r="F5" s="21"/>
      <c r="G5" s="22"/>
      <c r="H5" s="128"/>
    </row>
    <row r="6" s="121" customFormat="1" ht="20.1" customHeight="1" spans="1:8">
      <c r="A6" s="129" t="str">
        <f>IF(A13&gt;0,IF(A13&lt;=10,A13,""),"")</f>
        <v/>
      </c>
      <c r="B6" s="129"/>
      <c r="C6" s="20" t="s">
        <v>80</v>
      </c>
      <c r="D6" s="20"/>
      <c r="E6" s="130">
        <v>600</v>
      </c>
      <c r="F6" s="130" t="str">
        <f t="shared" ref="F6:F11" si="0">IF(A6="","",IF($J$9="否",E6,E6*1.4))</f>
        <v/>
      </c>
      <c r="G6" s="130" t="str">
        <f>IFERROR(F6*1.3,"")</f>
        <v/>
      </c>
      <c r="H6" s="131"/>
    </row>
    <row r="7" s="121" customFormat="1" ht="20.1" customHeight="1" spans="1:8">
      <c r="A7" s="129" t="str">
        <f>IF(A13&gt;10,IF(A13&lt;=50,A13,""),"")</f>
        <v/>
      </c>
      <c r="B7" s="129"/>
      <c r="C7" s="20" t="s">
        <v>81</v>
      </c>
      <c r="D7" s="20"/>
      <c r="E7" s="130">
        <v>1000</v>
      </c>
      <c r="F7" s="130" t="str">
        <f t="shared" si="0"/>
        <v/>
      </c>
      <c r="G7" s="130" t="str">
        <f t="shared" ref="G7:G12" si="1">IFERROR(F7*1.3,"")</f>
        <v/>
      </c>
      <c r="H7" s="132"/>
    </row>
    <row r="8" s="121" customFormat="1" ht="20.1" customHeight="1" spans="1:8">
      <c r="A8" s="129" t="str">
        <f>IF(A13&gt;50,IF(A13&lt;=100,A13,""),"")</f>
        <v/>
      </c>
      <c r="B8" s="129"/>
      <c r="C8" s="133" t="s">
        <v>82</v>
      </c>
      <c r="D8" s="133"/>
      <c r="E8" s="134">
        <v>1500</v>
      </c>
      <c r="F8" s="130" t="str">
        <f t="shared" si="0"/>
        <v/>
      </c>
      <c r="G8" s="130" t="str">
        <f t="shared" si="1"/>
        <v/>
      </c>
      <c r="H8" s="132"/>
    </row>
    <row r="9" s="121" customFormat="1" ht="20.1" customHeight="1" spans="1:10">
      <c r="A9" s="129" t="str">
        <f>IF(A13&gt;100,IF(A13&lt;=300,A13,""),"")</f>
        <v/>
      </c>
      <c r="B9" s="129"/>
      <c r="C9" s="135" t="s">
        <v>83</v>
      </c>
      <c r="D9" s="133"/>
      <c r="E9" s="134">
        <v>2000</v>
      </c>
      <c r="F9" s="130" t="str">
        <f t="shared" si="0"/>
        <v/>
      </c>
      <c r="G9" s="130" t="str">
        <f t="shared" si="1"/>
        <v/>
      </c>
      <c r="H9" s="132"/>
      <c r="I9" s="156" t="s">
        <v>84</v>
      </c>
      <c r="J9" s="156" t="s">
        <v>85</v>
      </c>
    </row>
    <row r="10" s="121" customFormat="1" ht="20.1" customHeight="1" spans="1:8">
      <c r="A10" s="129" t="str">
        <f>IF(A13&gt;300,IF(A13&lt;=600,A13,""),"")</f>
        <v/>
      </c>
      <c r="B10" s="129"/>
      <c r="C10" s="135" t="s">
        <v>86</v>
      </c>
      <c r="D10" s="133"/>
      <c r="E10" s="134">
        <v>2500</v>
      </c>
      <c r="F10" s="130" t="str">
        <f t="shared" si="0"/>
        <v/>
      </c>
      <c r="G10" s="130" t="str">
        <f t="shared" si="1"/>
        <v/>
      </c>
      <c r="H10" s="132"/>
    </row>
    <row r="11" s="121" customFormat="1" ht="20.1" customHeight="1" spans="1:8">
      <c r="A11" s="129" t="str">
        <f>IF(A13&gt;600,IF(A13&lt;=1000,A13,""),"")</f>
        <v/>
      </c>
      <c r="B11" s="129"/>
      <c r="C11" s="136" t="s">
        <v>87</v>
      </c>
      <c r="D11" s="20"/>
      <c r="E11" s="130">
        <v>3000</v>
      </c>
      <c r="F11" s="130" t="str">
        <f t="shared" si="0"/>
        <v/>
      </c>
      <c r="G11" s="130" t="str">
        <f t="shared" si="1"/>
        <v/>
      </c>
      <c r="H11" s="132"/>
    </row>
    <row r="12" s="121" customFormat="1" ht="20.1" customHeight="1" spans="1:8">
      <c r="A12" s="129" t="str">
        <f>IF(A13&gt;1000,A13,"")</f>
        <v/>
      </c>
      <c r="B12" s="129"/>
      <c r="C12" s="136" t="s">
        <v>88</v>
      </c>
      <c r="D12" s="20">
        <v>3</v>
      </c>
      <c r="E12" s="130"/>
      <c r="F12" s="130" t="str">
        <f>IF(A12="","",IF($J$9="否",A12*D12,A12*3*1.4))</f>
        <v/>
      </c>
      <c r="G12" s="130" t="str">
        <f t="shared" si="1"/>
        <v/>
      </c>
      <c r="H12" s="132"/>
    </row>
    <row r="13" s="121" customFormat="1" ht="20.1" customHeight="1" spans="1:8">
      <c r="A13" s="137"/>
      <c r="B13" s="138" t="s">
        <v>89</v>
      </c>
      <c r="C13" s="138"/>
      <c r="D13" s="139"/>
      <c r="E13" s="140" t="s">
        <v>23</v>
      </c>
      <c r="F13" s="141">
        <f>SUM(F6:F12)</f>
        <v>0</v>
      </c>
      <c r="G13" s="141">
        <f>SUM(G6:G12)</f>
        <v>0</v>
      </c>
      <c r="H13" s="142"/>
    </row>
    <row r="14" s="121" customFormat="1" ht="22.5" hidden="1" customHeight="1" spans="1:8">
      <c r="A14" s="143" t="s">
        <v>90</v>
      </c>
      <c r="B14" s="143"/>
      <c r="C14" s="143"/>
      <c r="D14" s="143"/>
      <c r="E14" s="143"/>
      <c r="F14" s="143"/>
      <c r="G14" s="143"/>
      <c r="H14" s="143"/>
    </row>
    <row r="15" s="121" customFormat="1" ht="22.5" hidden="1" customHeight="1" spans="1:8">
      <c r="A15" s="144" t="s">
        <v>25</v>
      </c>
      <c r="B15" s="145"/>
      <c r="C15" s="17" t="s">
        <v>91</v>
      </c>
      <c r="D15" s="146"/>
      <c r="E15" s="17"/>
      <c r="F15" s="17" t="s">
        <v>92</v>
      </c>
      <c r="G15" s="125" t="s">
        <v>93</v>
      </c>
      <c r="H15" s="147" t="e">
        <f>IF(A13&lt;&gt;#REF!,"本次变更验资最低应收费金额","")</f>
        <v>#REF!</v>
      </c>
    </row>
    <row r="16" s="121" customFormat="1" ht="22.5" hidden="1" customHeight="1" spans="1:8">
      <c r="A16" s="148" t="s">
        <v>94</v>
      </c>
      <c r="B16" s="149"/>
      <c r="C16" s="150" t="e">
        <f>IF(A13&lt;&gt;#REF!,G13)</f>
        <v>#REF!</v>
      </c>
      <c r="D16" s="150"/>
      <c r="E16" s="150"/>
      <c r="F16" s="150" t="e">
        <f>C16*0.4</f>
        <v>#REF!</v>
      </c>
      <c r="G16" s="151" t="e">
        <f>SUM(C16+F16)</f>
        <v>#REF!</v>
      </c>
      <c r="H16" s="152" t="e">
        <f>IF(#REF!&lt;&gt;A13,G16)</f>
        <v>#REF!</v>
      </c>
    </row>
    <row r="17" s="121" customFormat="1" ht="26.1" customHeight="1" spans="1:8">
      <c r="A17" s="153" t="s">
        <v>95</v>
      </c>
      <c r="B17" s="153"/>
      <c r="C17" s="153"/>
      <c r="D17" s="153"/>
      <c r="E17" s="153"/>
      <c r="F17" s="153"/>
      <c r="G17" s="153"/>
      <c r="H17" s="153"/>
    </row>
    <row r="18" s="121" customFormat="1" ht="26.1" customHeight="1" spans="1:8">
      <c r="A18" s="153" t="s">
        <v>96</v>
      </c>
      <c r="B18" s="153"/>
      <c r="C18" s="153"/>
      <c r="D18" s="153"/>
      <c r="E18" s="153"/>
      <c r="F18" s="153"/>
      <c r="G18" s="153"/>
      <c r="H18" s="153"/>
    </row>
    <row r="19" s="121" customFormat="1" ht="15" customHeight="1" spans="2:7">
      <c r="B19" s="154" t="s">
        <v>97</v>
      </c>
      <c r="C19" s="154"/>
      <c r="D19" s="154" t="s">
        <v>98</v>
      </c>
      <c r="E19" s="154"/>
      <c r="F19" s="154" t="s">
        <v>54</v>
      </c>
      <c r="G19" s="155"/>
    </row>
    <row r="20" spans="8:8">
      <c r="H20" s="121"/>
    </row>
    <row r="21" spans="8:8">
      <c r="H21" s="121"/>
    </row>
    <row r="22" spans="8:8">
      <c r="H22" s="121"/>
    </row>
  </sheetData>
  <sheetProtection sheet="1" selectLockedCells="1" objects="1"/>
  <mergeCells count="12">
    <mergeCell ref="B3:G3"/>
    <mergeCell ref="C4:E4"/>
    <mergeCell ref="B13:C13"/>
    <mergeCell ref="A14:H14"/>
    <mergeCell ref="A15:B15"/>
    <mergeCell ref="A16:B16"/>
    <mergeCell ref="A17:H17"/>
    <mergeCell ref="A18:H18"/>
    <mergeCell ref="F4:F5"/>
    <mergeCell ref="G4:G5"/>
    <mergeCell ref="H4:H5"/>
    <mergeCell ref="A4:B5"/>
  </mergeCells>
  <dataValidations count="1">
    <dataValidation type="list" allowBlank="1" showInputMessage="1" showErrorMessage="1" sqref="J9">
      <formula1>"是,否"</formula1>
    </dataValidation>
  </dataValidations>
  <pageMargins left="0.61" right="0.41" top="0.73" bottom="0.76" header="0.5" footer="0.5"/>
  <pageSetup paperSize="9" scale="95" orientation="landscape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8"/>
  <dimension ref="A1:H16"/>
  <sheetViews>
    <sheetView workbookViewId="0">
      <selection activeCell="A15" sqref="A15"/>
    </sheetView>
  </sheetViews>
  <sheetFormatPr defaultColWidth="9" defaultRowHeight="14.25" outlineLevelCol="7"/>
  <cols>
    <col min="1" max="1" width="20.625" customWidth="1"/>
    <col min="2" max="2" width="30.375" customWidth="1"/>
    <col min="3" max="3" width="14.375" customWidth="1"/>
    <col min="4" max="4" width="14.75" customWidth="1"/>
    <col min="5" max="5" width="14.875" customWidth="1"/>
    <col min="7" max="7" width="9.75" hidden="1" customWidth="1"/>
    <col min="8" max="8" width="8.625" hidden="1" customWidth="1"/>
  </cols>
  <sheetData>
    <row r="1" ht="24" customHeight="1" spans="1:5">
      <c r="A1" s="12" t="s">
        <v>102</v>
      </c>
      <c r="B1" s="13"/>
      <c r="C1" s="14"/>
      <c r="D1" s="14"/>
      <c r="E1" s="14"/>
    </row>
    <row r="2" ht="22.5" customHeight="1" spans="1:5">
      <c r="A2" s="15" t="s">
        <v>233</v>
      </c>
      <c r="B2" s="15"/>
      <c r="C2" s="15"/>
      <c r="D2" s="15"/>
      <c r="E2" s="15"/>
    </row>
    <row r="3" ht="27" customHeight="1" spans="1:5">
      <c r="A3" s="16" t="s">
        <v>234</v>
      </c>
      <c r="B3" s="17" t="s">
        <v>4</v>
      </c>
      <c r="C3" s="17"/>
      <c r="D3" s="17" t="s">
        <v>138</v>
      </c>
      <c r="E3" s="18" t="s">
        <v>7</v>
      </c>
    </row>
    <row r="4" ht="21" customHeight="1" spans="1:5">
      <c r="A4" s="19"/>
      <c r="B4" s="20" t="s">
        <v>235</v>
      </c>
      <c r="C4" s="20" t="s">
        <v>106</v>
      </c>
      <c r="D4" s="21"/>
      <c r="E4" s="22"/>
    </row>
    <row r="5" ht="24.6" customHeight="1" spans="1:8">
      <c r="A5" s="23">
        <f>IF(A15&lt;=100,A15,G5)</f>
        <v>100</v>
      </c>
      <c r="B5" s="24" t="s">
        <v>176</v>
      </c>
      <c r="C5" s="24">
        <v>15</v>
      </c>
      <c r="D5" s="25">
        <f>IFERROR(IF(A5&lt;G5,3000,A5*C5*10),"")</f>
        <v>15000</v>
      </c>
      <c r="E5" s="26"/>
      <c r="G5">
        <v>100</v>
      </c>
      <c r="H5">
        <f>G5*C5*10</f>
        <v>15000</v>
      </c>
    </row>
    <row r="6" ht="24.6" customHeight="1" spans="1:8">
      <c r="A6" s="23">
        <f>IF(A15&lt;=500,A15-A5,G6)</f>
        <v>400</v>
      </c>
      <c r="B6" s="27" t="s">
        <v>178</v>
      </c>
      <c r="C6" s="24">
        <v>11</v>
      </c>
      <c r="D6" s="25">
        <f>IFERROR(IF(A6&lt;G6,A6*C6*10,H6),"")</f>
        <v>44000</v>
      </c>
      <c r="E6" s="26"/>
      <c r="G6">
        <v>400</v>
      </c>
      <c r="H6">
        <f t="shared" ref="H6:H14" si="0">G6*C6*10</f>
        <v>44000</v>
      </c>
    </row>
    <row r="7" ht="24.6" customHeight="1" spans="1:8">
      <c r="A7" s="23">
        <f>IF(A15&lt;=1000,A15-A6-A5,G7)</f>
        <v>500</v>
      </c>
      <c r="B7" s="27" t="s">
        <v>179</v>
      </c>
      <c r="C7" s="24">
        <v>8</v>
      </c>
      <c r="D7" s="25">
        <f t="shared" ref="D7:D13" si="1">IFERROR(IF(A7&lt;G7,A7*C7*10,H7),"")</f>
        <v>40000</v>
      </c>
      <c r="E7" s="26"/>
      <c r="G7">
        <v>500</v>
      </c>
      <c r="H7">
        <f t="shared" si="0"/>
        <v>40000</v>
      </c>
    </row>
    <row r="8" ht="24.6" customHeight="1" spans="1:8">
      <c r="A8" s="23">
        <f>IF(A15&lt;=5000,A15-A7-A6-A5,G8)</f>
        <v>4000</v>
      </c>
      <c r="B8" s="27" t="s">
        <v>236</v>
      </c>
      <c r="C8" s="24">
        <v>5</v>
      </c>
      <c r="D8" s="25">
        <f t="shared" si="1"/>
        <v>200000</v>
      </c>
      <c r="E8" s="26"/>
      <c r="G8">
        <v>4000</v>
      </c>
      <c r="H8">
        <f t="shared" si="0"/>
        <v>200000</v>
      </c>
    </row>
    <row r="9" ht="24.6" customHeight="1" spans="1:8">
      <c r="A9" s="23">
        <f>IF(A15&lt;=10000,A15-A8-A7-A6-A5,G9)</f>
        <v>5000</v>
      </c>
      <c r="B9" s="27" t="s">
        <v>237</v>
      </c>
      <c r="C9" s="24">
        <v>2.5</v>
      </c>
      <c r="D9" s="25">
        <f t="shared" si="1"/>
        <v>125000</v>
      </c>
      <c r="E9" s="26"/>
      <c r="G9">
        <v>5000</v>
      </c>
      <c r="H9">
        <f t="shared" si="0"/>
        <v>125000</v>
      </c>
    </row>
    <row r="10" ht="24.6" customHeight="1" spans="1:8">
      <c r="A10" s="23">
        <f>IF(A15&lt;=50000,A15-A9-A8-A7-A6-A5,G10)</f>
        <v>40000</v>
      </c>
      <c r="B10" s="27" t="s">
        <v>238</v>
      </c>
      <c r="C10" s="24">
        <v>0.5</v>
      </c>
      <c r="D10" s="25">
        <f t="shared" si="1"/>
        <v>200000</v>
      </c>
      <c r="E10" s="26"/>
      <c r="G10">
        <v>40000</v>
      </c>
      <c r="H10">
        <f t="shared" si="0"/>
        <v>200000</v>
      </c>
    </row>
    <row r="11" ht="24.6" customHeight="1" spans="1:8">
      <c r="A11" s="23">
        <f>IF(A15&lt;100000,A15-A10-A9-A8-A7-A6-A5,G11)</f>
        <v>50000</v>
      </c>
      <c r="B11" s="27" t="s">
        <v>239</v>
      </c>
      <c r="C11" s="24">
        <v>0.35</v>
      </c>
      <c r="D11" s="25">
        <f t="shared" si="1"/>
        <v>175000</v>
      </c>
      <c r="E11" s="26"/>
      <c r="G11">
        <v>50000</v>
      </c>
      <c r="H11">
        <f t="shared" si="0"/>
        <v>175000</v>
      </c>
    </row>
    <row r="12" ht="24.6" customHeight="1" spans="1:8">
      <c r="A12" s="23">
        <f>IF(A15&lt;500000,A15-A11-A10-A9-A8-A7-A6-A5,G12)</f>
        <v>400000</v>
      </c>
      <c r="B12" s="27" t="s">
        <v>240</v>
      </c>
      <c r="C12" s="24">
        <v>0.08</v>
      </c>
      <c r="D12" s="25">
        <f t="shared" si="1"/>
        <v>320000</v>
      </c>
      <c r="E12" s="26"/>
      <c r="G12">
        <v>400000</v>
      </c>
      <c r="H12">
        <f t="shared" si="0"/>
        <v>320000</v>
      </c>
    </row>
    <row r="13" ht="24.6" customHeight="1" spans="1:8">
      <c r="A13" s="23">
        <f>IF(A15&lt;1000000,A15-A12-A11-A10-A9-A8-A7-A6-A5,G13)</f>
        <v>345678</v>
      </c>
      <c r="B13" s="27" t="s">
        <v>241</v>
      </c>
      <c r="C13" s="24">
        <v>0.06</v>
      </c>
      <c r="D13" s="25">
        <f t="shared" si="1"/>
        <v>207406.8</v>
      </c>
      <c r="E13" s="26"/>
      <c r="G13">
        <f>500000</f>
        <v>500000</v>
      </c>
      <c r="H13">
        <f t="shared" si="0"/>
        <v>300000</v>
      </c>
    </row>
    <row r="14" ht="24.6" customHeight="1" spans="1:8">
      <c r="A14" s="23">
        <f>IF(A15&gt;1000000,A15-1000000,0)</f>
        <v>0</v>
      </c>
      <c r="B14" s="27" t="s">
        <v>242</v>
      </c>
      <c r="C14" s="24">
        <v>0.04</v>
      </c>
      <c r="D14" s="25">
        <f>IFERROR(IF(A14&gt;0,A14*C14*10,0),"")</f>
        <v>0</v>
      </c>
      <c r="E14" s="26"/>
      <c r="G14">
        <f>A15-1000000</f>
        <v>-154322</v>
      </c>
      <c r="H14">
        <f t="shared" si="0"/>
        <v>-61728.8</v>
      </c>
    </row>
    <row r="15" ht="24.6" customHeight="1" spans="1:5">
      <c r="A15" s="28">
        <v>845678</v>
      </c>
      <c r="B15" s="29" t="s">
        <v>243</v>
      </c>
      <c r="C15" s="30" t="s">
        <v>149</v>
      </c>
      <c r="D15" s="31">
        <f>SUM(D5:D14)</f>
        <v>1326406.8</v>
      </c>
      <c r="E15" s="32"/>
    </row>
    <row r="16" spans="1:1">
      <c r="A16" s="33" t="s">
        <v>244</v>
      </c>
    </row>
  </sheetData>
  <sheetProtection sheet="1" selectLockedCells="1" objects="1"/>
  <mergeCells count="5">
    <mergeCell ref="A2:E2"/>
    <mergeCell ref="B3:C3"/>
    <mergeCell ref="A3:A4"/>
    <mergeCell ref="D3:D4"/>
    <mergeCell ref="E3:E4"/>
  </mergeCells>
  <pageMargins left="0.75" right="0.75" top="1" bottom="1" header="0.5" footer="0.5"/>
  <pageSetup paperSize="9" orientation="landscape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9"/>
  <dimension ref="A1:H16"/>
  <sheetViews>
    <sheetView workbookViewId="0">
      <selection activeCell="A15" sqref="A15"/>
    </sheetView>
  </sheetViews>
  <sheetFormatPr defaultColWidth="9" defaultRowHeight="14.25" outlineLevelCol="7"/>
  <cols>
    <col min="1" max="1" width="20.625" customWidth="1"/>
    <col min="2" max="2" width="30.375" customWidth="1"/>
    <col min="3" max="3" width="14.375" customWidth="1"/>
    <col min="4" max="4" width="14.75" customWidth="1"/>
    <col min="5" max="5" width="14.875" customWidth="1"/>
    <col min="7" max="7" width="9.75" hidden="1" customWidth="1"/>
    <col min="8" max="8" width="8.625" hidden="1" customWidth="1"/>
  </cols>
  <sheetData>
    <row r="1" ht="24" customHeight="1" spans="1:5">
      <c r="A1" s="12" t="s">
        <v>102</v>
      </c>
      <c r="B1" s="13"/>
      <c r="C1" s="14"/>
      <c r="D1" s="14"/>
      <c r="E1" s="14"/>
    </row>
    <row r="2" ht="22.5" customHeight="1" spans="1:5">
      <c r="A2" s="15" t="s">
        <v>245</v>
      </c>
      <c r="B2" s="15"/>
      <c r="C2" s="15"/>
      <c r="D2" s="15"/>
      <c r="E2" s="15"/>
    </row>
    <row r="3" ht="27" customHeight="1" spans="1:5">
      <c r="A3" s="16" t="s">
        <v>234</v>
      </c>
      <c r="B3" s="17" t="s">
        <v>4</v>
      </c>
      <c r="C3" s="17"/>
      <c r="D3" s="17" t="s">
        <v>138</v>
      </c>
      <c r="E3" s="18" t="s">
        <v>7</v>
      </c>
    </row>
    <row r="4" ht="21" customHeight="1" spans="1:5">
      <c r="A4" s="19"/>
      <c r="B4" s="20" t="s">
        <v>235</v>
      </c>
      <c r="C4" s="20" t="s">
        <v>106</v>
      </c>
      <c r="D4" s="21"/>
      <c r="E4" s="22"/>
    </row>
    <row r="5" ht="24.6" customHeight="1" spans="1:8">
      <c r="A5" s="23">
        <f>IF(A15&lt;=100,A15,G5)</f>
        <v>100</v>
      </c>
      <c r="B5" s="24" t="s">
        <v>176</v>
      </c>
      <c r="C5" s="24">
        <v>15</v>
      </c>
      <c r="D5" s="25">
        <f>IFERROR(IF(A5&lt;G5,3000,A5*C5*10),"")</f>
        <v>15000</v>
      </c>
      <c r="E5" s="26"/>
      <c r="G5">
        <v>100</v>
      </c>
      <c r="H5">
        <f>G5*C5*10</f>
        <v>15000</v>
      </c>
    </row>
    <row r="6" ht="24.6" customHeight="1" spans="1:8">
      <c r="A6" s="23">
        <f>IF(A15&lt;=500,A15-A5,G6)</f>
        <v>400</v>
      </c>
      <c r="B6" s="27" t="s">
        <v>178</v>
      </c>
      <c r="C6" s="24">
        <v>8</v>
      </c>
      <c r="D6" s="25">
        <f>IFERROR(IF(A6&lt;G6,A6*C6*10,H6),"")</f>
        <v>32000</v>
      </c>
      <c r="E6" s="26"/>
      <c r="G6">
        <v>400</v>
      </c>
      <c r="H6">
        <f t="shared" ref="H6:H14" si="0">G6*C6*10</f>
        <v>32000</v>
      </c>
    </row>
    <row r="7" ht="24.6" customHeight="1" spans="1:8">
      <c r="A7" s="23">
        <f>IF(A15&lt;=1000,A15-A6-A5,G7)</f>
        <v>500</v>
      </c>
      <c r="B7" s="27" t="s">
        <v>179</v>
      </c>
      <c r="C7" s="24">
        <v>4.5</v>
      </c>
      <c r="D7" s="25">
        <f t="shared" ref="D7:D13" si="1">IFERROR(IF(A7&lt;G7,A7*C7*10,H7),"")</f>
        <v>22500</v>
      </c>
      <c r="E7" s="26"/>
      <c r="G7">
        <v>500</v>
      </c>
      <c r="H7">
        <f t="shared" si="0"/>
        <v>22500</v>
      </c>
    </row>
    <row r="8" ht="24.6" customHeight="1" spans="1:8">
      <c r="A8" s="23">
        <f>IF(A15&lt;=5000,A15-A7-A6-A5,G8)</f>
        <v>4000</v>
      </c>
      <c r="B8" s="27" t="s">
        <v>236</v>
      </c>
      <c r="C8" s="24">
        <v>2.5</v>
      </c>
      <c r="D8" s="25">
        <f t="shared" si="1"/>
        <v>100000</v>
      </c>
      <c r="E8" s="26"/>
      <c r="G8">
        <v>4000</v>
      </c>
      <c r="H8">
        <f t="shared" si="0"/>
        <v>100000</v>
      </c>
    </row>
    <row r="9" ht="24.6" customHeight="1" spans="1:8">
      <c r="A9" s="23">
        <f>IF(A15&lt;=10000,A15-A8-A7-A6-A5,G9)</f>
        <v>5000</v>
      </c>
      <c r="B9" s="27" t="s">
        <v>237</v>
      </c>
      <c r="C9" s="24">
        <v>1</v>
      </c>
      <c r="D9" s="25">
        <f t="shared" si="1"/>
        <v>50000</v>
      </c>
      <c r="E9" s="26"/>
      <c r="G9">
        <v>5000</v>
      </c>
      <c r="H9">
        <f t="shared" si="0"/>
        <v>50000</v>
      </c>
    </row>
    <row r="10" ht="24.6" customHeight="1" spans="1:8">
      <c r="A10" s="23">
        <f>IF(A15&lt;=50000,A15-A9-A8-A7-A6-A5,G10)</f>
        <v>40000</v>
      </c>
      <c r="B10" s="27" t="s">
        <v>238</v>
      </c>
      <c r="C10" s="24">
        <v>0.5</v>
      </c>
      <c r="D10" s="25">
        <f t="shared" si="1"/>
        <v>200000</v>
      </c>
      <c r="E10" s="26"/>
      <c r="G10">
        <v>40000</v>
      </c>
      <c r="H10">
        <f t="shared" si="0"/>
        <v>200000</v>
      </c>
    </row>
    <row r="11" ht="24.6" customHeight="1" spans="1:8">
      <c r="A11" s="23">
        <f>IF(A15&lt;100000,A15-A10-A9-A8-A7-A6-A5,G11)</f>
        <v>50000</v>
      </c>
      <c r="B11" s="27" t="s">
        <v>239</v>
      </c>
      <c r="C11" s="24">
        <v>0.35</v>
      </c>
      <c r="D11" s="25">
        <f t="shared" si="1"/>
        <v>175000</v>
      </c>
      <c r="E11" s="26"/>
      <c r="G11">
        <v>50000</v>
      </c>
      <c r="H11">
        <f t="shared" si="0"/>
        <v>175000</v>
      </c>
    </row>
    <row r="12" ht="24.6" customHeight="1" spans="1:8">
      <c r="A12" s="23">
        <f>IF(A15&lt;500000,A15-A11-A10-A9-A8-A7-A6-A5,G12)</f>
        <v>400000</v>
      </c>
      <c r="B12" s="27" t="s">
        <v>240</v>
      </c>
      <c r="C12" s="24">
        <v>0.08</v>
      </c>
      <c r="D12" s="25">
        <f t="shared" si="1"/>
        <v>320000</v>
      </c>
      <c r="E12" s="26"/>
      <c r="G12">
        <v>400000</v>
      </c>
      <c r="H12">
        <f t="shared" si="0"/>
        <v>320000</v>
      </c>
    </row>
    <row r="13" ht="24.6" customHeight="1" spans="1:8">
      <c r="A13" s="23">
        <f>IF(A15&lt;1000000,A15-A12-A11-A10-A9-A8-A7-A6-A5,G13)</f>
        <v>345678</v>
      </c>
      <c r="B13" s="27" t="s">
        <v>241</v>
      </c>
      <c r="C13" s="24">
        <v>0.06</v>
      </c>
      <c r="D13" s="25">
        <f t="shared" si="1"/>
        <v>207406.8</v>
      </c>
      <c r="E13" s="26"/>
      <c r="G13">
        <f>500000</f>
        <v>500000</v>
      </c>
      <c r="H13">
        <f t="shared" si="0"/>
        <v>300000</v>
      </c>
    </row>
    <row r="14" ht="24.6" customHeight="1" spans="1:8">
      <c r="A14" s="23">
        <f>IF(A15&gt;1000000,A15-1000000,0)</f>
        <v>0</v>
      </c>
      <c r="B14" s="27" t="s">
        <v>242</v>
      </c>
      <c r="C14" s="24">
        <v>0.04</v>
      </c>
      <c r="D14" s="25">
        <f>IFERROR(IF(A14&gt;0,A14*C14*10,0),"")</f>
        <v>0</v>
      </c>
      <c r="E14" s="26"/>
      <c r="G14">
        <f>A15-1000000</f>
        <v>-154322</v>
      </c>
      <c r="H14">
        <f t="shared" si="0"/>
        <v>-61728.8</v>
      </c>
    </row>
    <row r="15" ht="24.6" customHeight="1" spans="1:5">
      <c r="A15" s="28">
        <v>845678</v>
      </c>
      <c r="B15" s="29" t="s">
        <v>243</v>
      </c>
      <c r="C15" s="30" t="s">
        <v>149</v>
      </c>
      <c r="D15" s="31">
        <f>SUM(D5:D14)</f>
        <v>1121906.8</v>
      </c>
      <c r="E15" s="32"/>
    </row>
    <row r="16" spans="1:1">
      <c r="A16" s="33" t="s">
        <v>244</v>
      </c>
    </row>
  </sheetData>
  <sheetProtection sheet="1" selectLockedCells="1" objects="1"/>
  <mergeCells count="5">
    <mergeCell ref="A2:E2"/>
    <mergeCell ref="B3:C3"/>
    <mergeCell ref="A3:A4"/>
    <mergeCell ref="D3:D4"/>
    <mergeCell ref="E3:E4"/>
  </mergeCells>
  <pageMargins left="0.75" right="0.75" top="1" bottom="1" header="0.5" footer="0.5"/>
  <pageSetup paperSize="9" orientation="landscape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0"/>
  <dimension ref="A1:H16"/>
  <sheetViews>
    <sheetView workbookViewId="0">
      <selection activeCell="A15" sqref="A15"/>
    </sheetView>
  </sheetViews>
  <sheetFormatPr defaultColWidth="9" defaultRowHeight="14.25" outlineLevelCol="7"/>
  <cols>
    <col min="1" max="1" width="20.625" customWidth="1"/>
    <col min="2" max="2" width="30.375" customWidth="1"/>
    <col min="3" max="3" width="14.375" customWidth="1"/>
    <col min="4" max="4" width="14.75" customWidth="1"/>
    <col min="5" max="5" width="14.875" customWidth="1"/>
    <col min="7" max="7" width="9.75" hidden="1" customWidth="1"/>
    <col min="8" max="8" width="8.625" hidden="1" customWidth="1"/>
  </cols>
  <sheetData>
    <row r="1" ht="24" customHeight="1" spans="1:5">
      <c r="A1" s="12" t="s">
        <v>102</v>
      </c>
      <c r="B1" s="13"/>
      <c r="C1" s="14"/>
      <c r="D1" s="14"/>
      <c r="E1" s="14"/>
    </row>
    <row r="2" ht="22.5" customHeight="1" spans="1:5">
      <c r="A2" s="15" t="s">
        <v>246</v>
      </c>
      <c r="B2" s="15"/>
      <c r="C2" s="15"/>
      <c r="D2" s="15"/>
      <c r="E2" s="15"/>
    </row>
    <row r="3" ht="27" customHeight="1" spans="1:5">
      <c r="A3" s="16" t="s">
        <v>234</v>
      </c>
      <c r="B3" s="17" t="s">
        <v>4</v>
      </c>
      <c r="C3" s="17"/>
      <c r="D3" s="17" t="s">
        <v>138</v>
      </c>
      <c r="E3" s="18" t="s">
        <v>7</v>
      </c>
    </row>
    <row r="4" ht="21" customHeight="1" spans="1:5">
      <c r="A4" s="19"/>
      <c r="B4" s="20" t="s">
        <v>235</v>
      </c>
      <c r="C4" s="20" t="s">
        <v>106</v>
      </c>
      <c r="D4" s="21"/>
      <c r="E4" s="22"/>
    </row>
    <row r="5" ht="24.6" customHeight="1" spans="1:8">
      <c r="A5" s="23">
        <f>IF(A15&lt;=100,A15,G5)</f>
        <v>100</v>
      </c>
      <c r="B5" s="24" t="s">
        <v>176</v>
      </c>
      <c r="C5" s="24">
        <v>10</v>
      </c>
      <c r="D5" s="25">
        <f>IFERROR(IF(A5&lt;G5,3000,A5*C5*10),"")</f>
        <v>10000</v>
      </c>
      <c r="E5" s="26"/>
      <c r="G5">
        <v>100</v>
      </c>
      <c r="H5">
        <f>G5*C5*10</f>
        <v>10000</v>
      </c>
    </row>
    <row r="6" ht="24.6" customHeight="1" spans="1:8">
      <c r="A6" s="23">
        <f>IF(A15&lt;=500,A15-A5,G6)</f>
        <v>400</v>
      </c>
      <c r="B6" s="27" t="s">
        <v>178</v>
      </c>
      <c r="C6" s="24">
        <v>7</v>
      </c>
      <c r="D6" s="25">
        <f>IFERROR(IF(A6&lt;G6,A6*C6*10,H6),"")</f>
        <v>28000</v>
      </c>
      <c r="E6" s="26"/>
      <c r="G6">
        <v>400</v>
      </c>
      <c r="H6">
        <f t="shared" ref="H6:H14" si="0">G6*C6*10</f>
        <v>28000</v>
      </c>
    </row>
    <row r="7" ht="24.6" customHeight="1" spans="1:8">
      <c r="A7" s="23">
        <f>IF(A15&lt;=1000,A15-A6-A5,G7)</f>
        <v>500</v>
      </c>
      <c r="B7" s="27" t="s">
        <v>179</v>
      </c>
      <c r="C7" s="24">
        <v>5.5</v>
      </c>
      <c r="D7" s="25">
        <f t="shared" ref="D7:D13" si="1">IFERROR(IF(A7&lt;G7,A7*C7*10,H7),"")</f>
        <v>27500</v>
      </c>
      <c r="E7" s="26"/>
      <c r="G7">
        <v>500</v>
      </c>
      <c r="H7">
        <f t="shared" si="0"/>
        <v>27500</v>
      </c>
    </row>
    <row r="8" ht="24.6" customHeight="1" spans="1:8">
      <c r="A8" s="23">
        <f>IF(A15&lt;=5000,A15-A7-A6-A5,G8)</f>
        <v>4000</v>
      </c>
      <c r="B8" s="27" t="s">
        <v>236</v>
      </c>
      <c r="C8" s="24">
        <v>3.5</v>
      </c>
      <c r="D8" s="25">
        <f t="shared" si="1"/>
        <v>140000</v>
      </c>
      <c r="E8" s="26"/>
      <c r="G8">
        <v>4000</v>
      </c>
      <c r="H8">
        <f t="shared" si="0"/>
        <v>140000</v>
      </c>
    </row>
    <row r="9" ht="24.6" customHeight="1" spans="1:8">
      <c r="A9" s="23">
        <f>IF(A15&lt;=10000,A15-A8-A7-A6-A5,G9)</f>
        <v>5000</v>
      </c>
      <c r="B9" s="27" t="s">
        <v>237</v>
      </c>
      <c r="C9" s="24">
        <v>2</v>
      </c>
      <c r="D9" s="25">
        <f t="shared" si="1"/>
        <v>100000</v>
      </c>
      <c r="E9" s="26"/>
      <c r="G9">
        <v>5000</v>
      </c>
      <c r="H9">
        <f t="shared" si="0"/>
        <v>100000</v>
      </c>
    </row>
    <row r="10" ht="24.6" customHeight="1" spans="1:8">
      <c r="A10" s="23">
        <f>IF(A15&lt;=50000,A15-A9-A8-A7-A6-A5,G10)</f>
        <v>40000</v>
      </c>
      <c r="B10" s="27" t="s">
        <v>238</v>
      </c>
      <c r="C10" s="24">
        <v>0.5</v>
      </c>
      <c r="D10" s="25">
        <f t="shared" si="1"/>
        <v>200000</v>
      </c>
      <c r="E10" s="26"/>
      <c r="G10">
        <v>40000</v>
      </c>
      <c r="H10">
        <f t="shared" si="0"/>
        <v>200000</v>
      </c>
    </row>
    <row r="11" ht="24.6" customHeight="1" spans="1:8">
      <c r="A11" s="23">
        <f>IF(A15&lt;100000,A15-A10-A9-A8-A7-A6-A5,G11)</f>
        <v>50000</v>
      </c>
      <c r="B11" s="27" t="s">
        <v>239</v>
      </c>
      <c r="C11" s="24">
        <v>0.35</v>
      </c>
      <c r="D11" s="25">
        <f t="shared" si="1"/>
        <v>175000</v>
      </c>
      <c r="E11" s="26"/>
      <c r="G11">
        <v>50000</v>
      </c>
      <c r="H11">
        <f t="shared" si="0"/>
        <v>175000</v>
      </c>
    </row>
    <row r="12" ht="24.6" customHeight="1" spans="1:8">
      <c r="A12" s="23">
        <f>IF(A15&lt;500000,A15-A11-A10-A9-A8-A7-A6-A5,G12)</f>
        <v>400000</v>
      </c>
      <c r="B12" s="27" t="s">
        <v>240</v>
      </c>
      <c r="C12" s="24">
        <v>0.08</v>
      </c>
      <c r="D12" s="25">
        <f t="shared" si="1"/>
        <v>320000</v>
      </c>
      <c r="E12" s="26"/>
      <c r="G12">
        <v>400000</v>
      </c>
      <c r="H12">
        <f t="shared" si="0"/>
        <v>320000</v>
      </c>
    </row>
    <row r="13" ht="24.6" customHeight="1" spans="1:8">
      <c r="A13" s="23">
        <f>IF(A15&lt;1000000,A15-A12-A11-A10-A9-A8-A7-A6-A5,G13)</f>
        <v>345678</v>
      </c>
      <c r="B13" s="27" t="s">
        <v>241</v>
      </c>
      <c r="C13" s="24">
        <v>0.06</v>
      </c>
      <c r="D13" s="25">
        <f t="shared" si="1"/>
        <v>207406.8</v>
      </c>
      <c r="E13" s="26"/>
      <c r="G13">
        <f>500000</f>
        <v>500000</v>
      </c>
      <c r="H13">
        <f t="shared" si="0"/>
        <v>300000</v>
      </c>
    </row>
    <row r="14" ht="24.6" customHeight="1" spans="1:8">
      <c r="A14" s="23">
        <f>IF(A15&gt;1000000,A15-1000000,0)</f>
        <v>0</v>
      </c>
      <c r="B14" s="27" t="s">
        <v>242</v>
      </c>
      <c r="C14" s="24">
        <v>0.04</v>
      </c>
      <c r="D14" s="25">
        <f>IFERROR(IF(A14&gt;0,A14*C14*10,0),"")</f>
        <v>0</v>
      </c>
      <c r="E14" s="26"/>
      <c r="G14">
        <f>A15-1000000</f>
        <v>-154322</v>
      </c>
      <c r="H14">
        <f t="shared" si="0"/>
        <v>-61728.8</v>
      </c>
    </row>
    <row r="15" ht="24.6" customHeight="1" spans="1:5">
      <c r="A15" s="28">
        <v>845678</v>
      </c>
      <c r="B15" s="29" t="s">
        <v>243</v>
      </c>
      <c r="C15" s="30" t="s">
        <v>149</v>
      </c>
      <c r="D15" s="31">
        <f>SUM(D5:D14)</f>
        <v>1207906.8</v>
      </c>
      <c r="E15" s="32"/>
    </row>
    <row r="16" spans="1:1">
      <c r="A16" s="33" t="s">
        <v>244</v>
      </c>
    </row>
  </sheetData>
  <sheetProtection sheet="1" selectLockedCells="1" objects="1"/>
  <mergeCells count="5">
    <mergeCell ref="A2:E2"/>
    <mergeCell ref="B3:C3"/>
    <mergeCell ref="A3:A4"/>
    <mergeCell ref="D3:D4"/>
    <mergeCell ref="E3:E4"/>
  </mergeCells>
  <pageMargins left="0.75" right="0.75" top="1" bottom="1" header="0.5" footer="0.5"/>
  <pageSetup paperSize="9" orientation="landscape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D12"/>
  <sheetViews>
    <sheetView showGridLines="0" workbookViewId="0">
      <selection activeCell="F12" sqref="F12"/>
    </sheetView>
  </sheetViews>
  <sheetFormatPr defaultColWidth="9" defaultRowHeight="14.25" outlineLevelCol="3"/>
  <cols>
    <col min="1" max="1" width="14.875" style="2" customWidth="1"/>
    <col min="2" max="2" width="18.5" style="2" customWidth="1"/>
    <col min="3" max="3" width="13.625" style="2" customWidth="1"/>
    <col min="4" max="4" width="17" style="2" customWidth="1"/>
    <col min="5" max="16384" width="9" style="2"/>
  </cols>
  <sheetData>
    <row r="1" ht="38.25" customHeight="1" spans="1:4">
      <c r="A1" s="3" t="s">
        <v>247</v>
      </c>
      <c r="B1" s="3"/>
      <c r="C1" s="3"/>
      <c r="D1" s="3"/>
    </row>
    <row r="2" spans="1:4">
      <c r="A2" s="4" t="s">
        <v>248</v>
      </c>
      <c r="B2" s="5" t="s">
        <v>249</v>
      </c>
      <c r="C2" s="5" t="s">
        <v>250</v>
      </c>
      <c r="D2" s="6" t="s">
        <v>251</v>
      </c>
    </row>
    <row r="3" spans="1:4">
      <c r="A3" s="4">
        <f>IF(A10="","",IF(A10&lt;100,A10,100))</f>
        <v>100</v>
      </c>
      <c r="B3" s="5" t="s">
        <v>252</v>
      </c>
      <c r="C3" s="7">
        <v>0.00024</v>
      </c>
      <c r="D3" s="6">
        <f>IF(A3="","",A3*0.01)</f>
        <v>1</v>
      </c>
    </row>
    <row r="4" spans="1:4">
      <c r="A4" s="4">
        <f>IF(A10="","",IF(A5&lt;&gt;"",400,IF(A10&gt;100,A10-100,"")))</f>
        <v>90.96</v>
      </c>
      <c r="B4" s="5" t="s">
        <v>253</v>
      </c>
      <c r="C4" s="7">
        <v>0.00168</v>
      </c>
      <c r="D4" s="6">
        <f>IF(A4="","",A4*0.007)</f>
        <v>0.63672</v>
      </c>
    </row>
    <row r="5" spans="1:4">
      <c r="A5" s="4" t="str">
        <f>IF(A10="","",IF(A6&lt;&gt;"",500,IF(A10&gt;500,A10-500,"")))</f>
        <v/>
      </c>
      <c r="B5" s="5" t="s">
        <v>254</v>
      </c>
      <c r="C5" s="7">
        <v>0.00132</v>
      </c>
      <c r="D5" s="6" t="str">
        <f>IF(A5="","",A5*0.0055)</f>
        <v/>
      </c>
    </row>
    <row r="6" spans="1:4">
      <c r="A6" s="4" t="str">
        <f>IF(A10="","",IF(A7&lt;&gt;"",4000,IF(A10&gt;1000,A10-1000,"")))</f>
        <v/>
      </c>
      <c r="B6" s="5" t="s">
        <v>255</v>
      </c>
      <c r="C6" s="7">
        <v>0.00084</v>
      </c>
      <c r="D6" s="6" t="str">
        <f>IF(A6="","",A6*0.0035)</f>
        <v/>
      </c>
    </row>
    <row r="7" spans="1:4">
      <c r="A7" s="4" t="str">
        <f>IF(A10="","",IF(A8&lt;&gt;"",5000,IF(A10&gt;5000,A10-5000,"")))</f>
        <v/>
      </c>
      <c r="B7" s="5" t="s">
        <v>256</v>
      </c>
      <c r="C7" s="7">
        <v>0.00048</v>
      </c>
      <c r="D7" s="6" t="str">
        <f>IF(A7="","",A7*0.002)</f>
        <v/>
      </c>
    </row>
    <row r="8" spans="1:4">
      <c r="A8" s="4" t="str">
        <f>IF(A10="","",IF(A9&lt;&gt;"",90000,IF(A10&gt;10000,A10-10000,"")))</f>
        <v/>
      </c>
      <c r="B8" s="5" t="s">
        <v>257</v>
      </c>
      <c r="C8" s="7">
        <v>0.00012</v>
      </c>
      <c r="D8" s="6" t="str">
        <f>IF(A8="","",A8*0.0005)</f>
        <v/>
      </c>
    </row>
    <row r="9" spans="1:4">
      <c r="A9" s="4" t="str">
        <f>IF(A10="","",IF(A10&gt;100000,A10-100000,""))</f>
        <v/>
      </c>
      <c r="B9" s="5" t="s">
        <v>258</v>
      </c>
      <c r="C9" s="7">
        <v>8.4e-5</v>
      </c>
      <c r="D9" s="6" t="str">
        <f>IF(A9="","",A9*0.0001)</f>
        <v/>
      </c>
    </row>
    <row r="10" s="1" customFormat="1" ht="19.5" customHeight="1" spans="1:4">
      <c r="A10" s="8">
        <v>190.96</v>
      </c>
      <c r="B10" s="9" t="s">
        <v>22</v>
      </c>
      <c r="C10" s="9" t="s">
        <v>259</v>
      </c>
      <c r="D10" s="10">
        <f>SUM(D3:D9)</f>
        <v>1.63672</v>
      </c>
    </row>
    <row r="12" spans="1:1">
      <c r="A12" s="11" t="s">
        <v>260</v>
      </c>
    </row>
  </sheetData>
  <mergeCells count="1">
    <mergeCell ref="A1:D1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13"/>
  <sheetViews>
    <sheetView workbookViewId="0">
      <selection activeCell="E24" sqref="E24"/>
    </sheetView>
  </sheetViews>
  <sheetFormatPr defaultColWidth="9" defaultRowHeight="14.25" outlineLevelCol="7"/>
  <cols>
    <col min="2" max="2" width="25.25" customWidth="1"/>
    <col min="3" max="3" width="9.875" customWidth="1"/>
    <col min="4" max="4" width="6" customWidth="1"/>
    <col min="5" max="5" width="24.625" customWidth="1"/>
    <col min="7" max="8" width="25.25" customWidth="1"/>
  </cols>
  <sheetData>
    <row r="1" spans="1:8">
      <c r="A1" s="115"/>
      <c r="B1" s="115"/>
      <c r="C1" s="115"/>
      <c r="D1" s="115"/>
      <c r="E1" s="116" t="s">
        <v>55</v>
      </c>
      <c r="F1" s="116"/>
      <c r="G1" s="116"/>
      <c r="H1" s="116"/>
    </row>
    <row r="2" spans="1:8">
      <c r="A2" s="117" t="s">
        <v>56</v>
      </c>
      <c r="B2" s="117" t="s">
        <v>57</v>
      </c>
      <c r="C2" s="117" t="s">
        <v>58</v>
      </c>
      <c r="D2" s="115"/>
      <c r="E2" s="118" t="s">
        <v>59</v>
      </c>
      <c r="F2" s="117" t="s">
        <v>60</v>
      </c>
      <c r="G2" s="117" t="s">
        <v>61</v>
      </c>
      <c r="H2" s="117" t="s">
        <v>61</v>
      </c>
    </row>
    <row r="3" spans="1:8">
      <c r="A3" s="119" t="s">
        <v>62</v>
      </c>
      <c r="B3" s="119" t="s">
        <v>99</v>
      </c>
      <c r="C3" s="119">
        <v>1</v>
      </c>
      <c r="D3" s="115"/>
      <c r="E3" s="117" t="s">
        <v>99</v>
      </c>
      <c r="F3" s="117">
        <f>COUNTIF(B:B,E3)</f>
        <v>1</v>
      </c>
      <c r="G3" s="117">
        <f>SUMIF(B:B,E3,C:C)*780</f>
        <v>780</v>
      </c>
      <c r="H3" s="117">
        <f>SUMIF(B:B,E3,C:C)*1560</f>
        <v>1560</v>
      </c>
    </row>
    <row r="4" spans="1:8">
      <c r="A4" s="119" t="s">
        <v>64</v>
      </c>
      <c r="B4" s="119" t="s">
        <v>100</v>
      </c>
      <c r="C4" s="119">
        <v>2</v>
      </c>
      <c r="D4" s="115"/>
      <c r="E4" s="117" t="s">
        <v>100</v>
      </c>
      <c r="F4" s="117">
        <f>COUNTIF(B:B,E4)</f>
        <v>3</v>
      </c>
      <c r="G4" s="117">
        <f>SUMIF(B:B,E4,C:C)*520</f>
        <v>7800</v>
      </c>
      <c r="H4" s="117">
        <f>SUMIF(B:B,E4,C:C)*1040</f>
        <v>15600</v>
      </c>
    </row>
    <row r="5" spans="1:8">
      <c r="A5" s="119" t="s">
        <v>66</v>
      </c>
      <c r="B5" s="119" t="s">
        <v>67</v>
      </c>
      <c r="C5" s="119">
        <v>3</v>
      </c>
      <c r="D5" s="115"/>
      <c r="E5" s="117" t="s">
        <v>67</v>
      </c>
      <c r="F5" s="117">
        <f>COUNTIF(B:B,E5)</f>
        <v>6</v>
      </c>
      <c r="G5" s="117">
        <f>SUMIF(B:B,E5,C:C)*130</f>
        <v>5070</v>
      </c>
      <c r="H5" s="117">
        <f>SUMIF(B:B,E5,C:C)*650</f>
        <v>25350</v>
      </c>
    </row>
    <row r="6" spans="1:8">
      <c r="A6" s="119" t="s">
        <v>68</v>
      </c>
      <c r="B6" s="119" t="s">
        <v>67</v>
      </c>
      <c r="C6" s="119">
        <v>4</v>
      </c>
      <c r="D6" s="115"/>
      <c r="E6" s="117" t="s">
        <v>69</v>
      </c>
      <c r="F6" s="120">
        <f>SUM(F3:F5)</f>
        <v>10</v>
      </c>
      <c r="G6" s="120">
        <f t="shared" ref="G6:H6" si="0">SUM(G3:G5)</f>
        <v>13650</v>
      </c>
      <c r="H6" s="120">
        <f t="shared" si="0"/>
        <v>42510</v>
      </c>
    </row>
    <row r="7" spans="1:8">
      <c r="A7" s="119" t="s">
        <v>70</v>
      </c>
      <c r="B7" s="119" t="s">
        <v>100</v>
      </c>
      <c r="C7" s="119">
        <v>5</v>
      </c>
      <c r="D7" s="115"/>
      <c r="E7" s="115"/>
      <c r="F7" s="115"/>
      <c r="G7" s="115"/>
      <c r="H7" s="115"/>
    </row>
    <row r="8" spans="1:8">
      <c r="A8" s="119" t="s">
        <v>71</v>
      </c>
      <c r="B8" s="119" t="s">
        <v>67</v>
      </c>
      <c r="C8" s="119">
        <v>6</v>
      </c>
      <c r="D8" s="115"/>
      <c r="E8" s="115"/>
      <c r="F8" s="115"/>
      <c r="G8" s="115"/>
      <c r="H8" s="115"/>
    </row>
    <row r="9" spans="1:8">
      <c r="A9" s="119" t="s">
        <v>72</v>
      </c>
      <c r="B9" s="119" t="s">
        <v>67</v>
      </c>
      <c r="C9" s="119">
        <v>7</v>
      </c>
      <c r="D9" s="115"/>
      <c r="E9" s="115"/>
      <c r="F9" s="115"/>
      <c r="G9" s="115"/>
      <c r="H9" s="115"/>
    </row>
    <row r="10" spans="1:8">
      <c r="A10" s="119" t="s">
        <v>73</v>
      </c>
      <c r="B10" s="119" t="s">
        <v>100</v>
      </c>
      <c r="C10" s="119">
        <v>8</v>
      </c>
      <c r="D10" s="115"/>
      <c r="E10" s="115"/>
      <c r="F10" s="115"/>
      <c r="G10" s="115"/>
      <c r="H10" s="115"/>
    </row>
    <row r="11" spans="1:8">
      <c r="A11" s="119" t="s">
        <v>74</v>
      </c>
      <c r="B11" s="119" t="s">
        <v>67</v>
      </c>
      <c r="C11" s="119">
        <v>9</v>
      </c>
      <c r="D11" s="115"/>
      <c r="E11" s="115"/>
      <c r="F11" s="115"/>
      <c r="G11" s="115"/>
      <c r="H11" s="115"/>
    </row>
    <row r="12" spans="1:8">
      <c r="A12" s="119" t="s">
        <v>75</v>
      </c>
      <c r="B12" s="119" t="s">
        <v>67</v>
      </c>
      <c r="C12" s="119">
        <v>10</v>
      </c>
      <c r="D12" s="115"/>
      <c r="E12" s="115"/>
      <c r="F12" s="115"/>
      <c r="G12" s="115"/>
      <c r="H12" s="115"/>
    </row>
    <row r="13" spans="1:8">
      <c r="A13" s="115"/>
      <c r="B13" s="115"/>
      <c r="C13" s="115"/>
      <c r="D13" s="115"/>
      <c r="E13" s="115"/>
      <c r="F13" s="115"/>
      <c r="G13" s="115"/>
      <c r="H13" s="115"/>
    </row>
  </sheetData>
  <mergeCells count="1">
    <mergeCell ref="E1:H1"/>
  </mergeCells>
  <dataValidations count="1">
    <dataValidation type="list" allowBlank="1" showInputMessage="1" showErrorMessage="1" sqref="B3:B12">
      <formula1>$E$3:$E$5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rgb="FFFF0000"/>
  </sheetPr>
  <dimension ref="A1:E14"/>
  <sheetViews>
    <sheetView topLeftCell="A2" workbookViewId="0">
      <selection activeCell="A11" sqref="A11"/>
    </sheetView>
  </sheetViews>
  <sheetFormatPr defaultColWidth="9" defaultRowHeight="14.25" outlineLevelCol="4"/>
  <cols>
    <col min="1" max="1" width="19.75" style="92" customWidth="1"/>
    <col min="2" max="2" width="31.5" style="92" customWidth="1"/>
    <col min="3" max="3" width="20.25" style="92" customWidth="1"/>
    <col min="4" max="5" width="17.125" style="92" customWidth="1"/>
    <col min="6" max="16384" width="9" style="92"/>
  </cols>
  <sheetData>
    <row r="1" ht="36.6" customHeight="1" spans="1:5">
      <c r="A1" s="94" t="s">
        <v>101</v>
      </c>
      <c r="B1" s="94"/>
      <c r="C1" s="94"/>
      <c r="D1" s="94"/>
      <c r="E1" s="94"/>
    </row>
    <row r="2" ht="35.25" customHeight="1" spans="1:4">
      <c r="A2" s="95" t="s">
        <v>102</v>
      </c>
      <c r="B2" s="95"/>
      <c r="C2" s="95"/>
      <c r="D2" s="95"/>
    </row>
    <row r="3" ht="24" customHeight="1" spans="1:5">
      <c r="A3" s="96" t="s">
        <v>103</v>
      </c>
      <c r="B3" s="97" t="s">
        <v>4</v>
      </c>
      <c r="C3" s="97"/>
      <c r="D3" s="98" t="s">
        <v>104</v>
      </c>
      <c r="E3" s="98" t="s">
        <v>105</v>
      </c>
    </row>
    <row r="4" ht="24" customHeight="1" spans="1:5">
      <c r="A4" s="99"/>
      <c r="B4" s="100" t="s">
        <v>8</v>
      </c>
      <c r="C4" s="100" t="s">
        <v>106</v>
      </c>
      <c r="D4" s="101"/>
      <c r="E4" s="101"/>
    </row>
    <row r="5" ht="24" customHeight="1" spans="1:5">
      <c r="A5" s="102" t="str">
        <f>IF(A11="","",IF(A6&lt;&gt;"",100,A11))</f>
        <v/>
      </c>
      <c r="B5" s="103" t="s">
        <v>107</v>
      </c>
      <c r="C5" s="104">
        <v>7</v>
      </c>
      <c r="D5" s="105" t="str">
        <f>IF(A5="","",A5*70)</f>
        <v/>
      </c>
      <c r="E5" s="105" t="str">
        <f>IFERROR(D5*1.2,"")</f>
        <v/>
      </c>
    </row>
    <row r="6" ht="24" customHeight="1" spans="1:5">
      <c r="A6" s="102" t="str">
        <f>IF(A7&lt;&gt;"",900,IF(A11&gt;100,A11-100,""))</f>
        <v/>
      </c>
      <c r="B6" s="103" t="s">
        <v>108</v>
      </c>
      <c r="C6" s="104">
        <v>3.5</v>
      </c>
      <c r="D6" s="105" t="str">
        <f>IF(A6="","",A6*35)</f>
        <v/>
      </c>
      <c r="E6" s="105" t="str">
        <f t="shared" ref="E6:E10" si="0">IFERROR(D6*1.2,"")</f>
        <v/>
      </c>
    </row>
    <row r="7" s="91" customFormat="1" ht="24" customHeight="1" spans="1:5">
      <c r="A7" s="107" t="str">
        <f>IF(A8&lt;&gt;"",4000,IF(A11&gt;1000,A11-1000,""))</f>
        <v/>
      </c>
      <c r="B7" s="108" t="s">
        <v>109</v>
      </c>
      <c r="C7" s="109">
        <v>1.2</v>
      </c>
      <c r="D7" s="114" t="str">
        <f>IF(A7="","",A7*12)</f>
        <v/>
      </c>
      <c r="E7" s="105" t="str">
        <f t="shared" si="0"/>
        <v/>
      </c>
    </row>
    <row r="8" ht="24" customHeight="1" spans="1:5">
      <c r="A8" s="102" t="str">
        <f>IF(A9&lt;&gt;"",5000,IF(A11&gt;5000,A11-5000,""))</f>
        <v/>
      </c>
      <c r="B8" s="103" t="s">
        <v>110</v>
      </c>
      <c r="C8" s="104">
        <v>0.75</v>
      </c>
      <c r="D8" s="105" t="str">
        <f>IF(A8="","",A8*7.5)</f>
        <v/>
      </c>
      <c r="E8" s="105" t="str">
        <f t="shared" si="0"/>
        <v/>
      </c>
    </row>
    <row r="9" ht="24" customHeight="1" spans="1:5">
      <c r="A9" s="102" t="str">
        <f>IF(A10&lt;&gt;"",90000,IF(A11&gt;10000,A11-10000,""))</f>
        <v/>
      </c>
      <c r="B9" s="103" t="s">
        <v>111</v>
      </c>
      <c r="C9" s="104">
        <v>0.15</v>
      </c>
      <c r="D9" s="105" t="str">
        <f>IF(A9="","",A9*1.5)</f>
        <v/>
      </c>
      <c r="E9" s="105" t="str">
        <f t="shared" si="0"/>
        <v/>
      </c>
    </row>
    <row r="10" ht="24" customHeight="1" spans="1:5">
      <c r="A10" s="102" t="str">
        <f>IF(A11&gt;100000,A11-100000,"")</f>
        <v/>
      </c>
      <c r="B10" s="103" t="s">
        <v>112</v>
      </c>
      <c r="C10" s="104">
        <v>0.1</v>
      </c>
      <c r="D10" s="105" t="str">
        <f>IF(A10="","",A10*1)</f>
        <v/>
      </c>
      <c r="E10" s="105" t="str">
        <f t="shared" si="0"/>
        <v/>
      </c>
    </row>
    <row r="11" ht="24" customHeight="1" spans="1:5">
      <c r="A11" s="110"/>
      <c r="B11" s="111" t="s">
        <v>22</v>
      </c>
      <c r="C11" s="112"/>
      <c r="D11" s="113">
        <f>SUM(D5:D10)</f>
        <v>0</v>
      </c>
      <c r="E11" s="113">
        <f>SUM(E5:E10)</f>
        <v>0</v>
      </c>
    </row>
    <row r="13" spans="1:1">
      <c r="A13" s="91" t="s">
        <v>113</v>
      </c>
    </row>
    <row r="14" spans="1:1">
      <c r="A14" s="91" t="s">
        <v>114</v>
      </c>
    </row>
  </sheetData>
  <sheetProtection sheet="1" selectLockedCells="1" objects="1"/>
  <mergeCells count="6">
    <mergeCell ref="A1:E1"/>
    <mergeCell ref="A2:D2"/>
    <mergeCell ref="B3:C3"/>
    <mergeCell ref="A3:A4"/>
    <mergeCell ref="D3:D4"/>
    <mergeCell ref="E3:E4"/>
  </mergeCells>
  <pageMargins left="0.75" right="0.75" top="1" bottom="1" header="0.5" footer="0.5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6">
    <tabColor rgb="FFFF0000"/>
  </sheetPr>
  <dimension ref="A1:E13"/>
  <sheetViews>
    <sheetView workbookViewId="0">
      <selection activeCell="A10" sqref="A10"/>
    </sheetView>
  </sheetViews>
  <sheetFormatPr defaultColWidth="9" defaultRowHeight="14.25" outlineLevelCol="4"/>
  <cols>
    <col min="1" max="1" width="19.75" style="92" customWidth="1"/>
    <col min="2" max="2" width="31.5" style="92" customWidth="1"/>
    <col min="3" max="3" width="20.25" style="92" customWidth="1"/>
    <col min="4" max="5" width="17.125" style="92" customWidth="1"/>
    <col min="6" max="16384" width="9" style="92"/>
  </cols>
  <sheetData>
    <row r="1" ht="36.6" customHeight="1" spans="1:5">
      <c r="A1" s="93" t="s">
        <v>115</v>
      </c>
      <c r="B1" s="93"/>
      <c r="C1" s="93"/>
      <c r="D1" s="93"/>
      <c r="E1" s="93"/>
    </row>
    <row r="2" ht="35.25" customHeight="1" spans="1:4">
      <c r="A2" s="95" t="s">
        <v>102</v>
      </c>
      <c r="B2" s="95"/>
      <c r="C2" s="95"/>
      <c r="D2" s="95"/>
    </row>
    <row r="3" ht="24" customHeight="1" spans="1:5">
      <c r="A3" s="96" t="s">
        <v>103</v>
      </c>
      <c r="B3" s="97" t="s">
        <v>4</v>
      </c>
      <c r="C3" s="97"/>
      <c r="D3" s="98" t="s">
        <v>104</v>
      </c>
      <c r="E3" s="98" t="s">
        <v>105</v>
      </c>
    </row>
    <row r="4" ht="24" customHeight="1" spans="1:5">
      <c r="A4" s="99"/>
      <c r="B4" s="100" t="s">
        <v>8</v>
      </c>
      <c r="C4" s="100" t="s">
        <v>106</v>
      </c>
      <c r="D4" s="101"/>
      <c r="E4" s="101"/>
    </row>
    <row r="5" ht="24" customHeight="1" spans="1:5">
      <c r="A5" s="102" t="str">
        <f>IF(A10="","",IF(A6&lt;&gt;"",100,A10))</f>
        <v/>
      </c>
      <c r="B5" s="103" t="s">
        <v>107</v>
      </c>
      <c r="C5" s="104">
        <v>3.5</v>
      </c>
      <c r="D5" s="105" t="str">
        <f>IF(A5="","",A5*C5*10)</f>
        <v/>
      </c>
      <c r="E5" s="105" t="str">
        <f>IFERROR(D5*1.2,"")</f>
        <v/>
      </c>
    </row>
    <row r="6" ht="24" customHeight="1" spans="1:5">
      <c r="A6" s="102" t="str">
        <f>IF(A7&lt;&gt;"",400,IF(A10&gt;100,A10-100,""))</f>
        <v/>
      </c>
      <c r="B6" s="103" t="s">
        <v>116</v>
      </c>
      <c r="C6" s="104">
        <v>2.5</v>
      </c>
      <c r="D6" s="105" t="str">
        <f t="shared" ref="D6:D9" si="0">IF(A6="","",A6*C6*10)</f>
        <v/>
      </c>
      <c r="E6" s="105" t="str">
        <f t="shared" ref="E6:E9" si="1">IFERROR(D6*1.2,"")</f>
        <v/>
      </c>
    </row>
    <row r="7" s="91" customFormat="1" ht="24" customHeight="1" spans="1:5">
      <c r="A7" s="107" t="str">
        <f>IF(A8&lt;&gt;"",1500,IF(A10&gt;500,A10-500,""))</f>
        <v/>
      </c>
      <c r="B7" s="108" t="s">
        <v>117</v>
      </c>
      <c r="C7" s="109">
        <v>1</v>
      </c>
      <c r="D7" s="105" t="str">
        <f t="shared" si="0"/>
        <v/>
      </c>
      <c r="E7" s="105" t="str">
        <f t="shared" si="1"/>
        <v/>
      </c>
    </row>
    <row r="8" ht="24" customHeight="1" spans="1:5">
      <c r="A8" s="102" t="str">
        <f>IF(A9&lt;&gt;"",3000,IF(A10&gt;2000,A10-2000,""))</f>
        <v/>
      </c>
      <c r="B8" s="103" t="s">
        <v>118</v>
      </c>
      <c r="C8" s="104">
        <v>0.5</v>
      </c>
      <c r="D8" s="105" t="str">
        <f t="shared" si="0"/>
        <v/>
      </c>
      <c r="E8" s="105" t="str">
        <f t="shared" si="1"/>
        <v/>
      </c>
    </row>
    <row r="9" ht="24" customHeight="1" spans="1:5">
      <c r="A9" s="102" t="str">
        <f>IF(A10&gt;5000,A10-5000,"")</f>
        <v/>
      </c>
      <c r="B9" s="103" t="s">
        <v>119</v>
      </c>
      <c r="C9" s="104">
        <v>0.1</v>
      </c>
      <c r="D9" s="105" t="str">
        <f t="shared" si="0"/>
        <v/>
      </c>
      <c r="E9" s="105" t="str">
        <f t="shared" si="1"/>
        <v/>
      </c>
    </row>
    <row r="10" ht="24" customHeight="1" spans="1:5">
      <c r="A10" s="110"/>
      <c r="B10" s="111" t="s">
        <v>22</v>
      </c>
      <c r="C10" s="112"/>
      <c r="D10" s="113">
        <f>SUM(D5:D9)</f>
        <v>0</v>
      </c>
      <c r="E10" s="113">
        <f>SUM(E5:E9)</f>
        <v>0</v>
      </c>
    </row>
    <row r="12" spans="1:1">
      <c r="A12" s="91" t="s">
        <v>120</v>
      </c>
    </row>
    <row r="13" spans="1:1">
      <c r="A13" s="91" t="s">
        <v>114</v>
      </c>
    </row>
  </sheetData>
  <sheetProtection sheet="1" selectLockedCells="1" objects="1"/>
  <mergeCells count="6">
    <mergeCell ref="A1:E1"/>
    <mergeCell ref="A2:D2"/>
    <mergeCell ref="B3:C3"/>
    <mergeCell ref="A3:A4"/>
    <mergeCell ref="D3:D4"/>
    <mergeCell ref="E3:E4"/>
  </mergeCells>
  <pageMargins left="0.75" right="0.75" top="1" bottom="1" header="0.5" footer="0.5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F12"/>
  <sheetViews>
    <sheetView workbookViewId="0">
      <selection activeCell="A12" sqref="A12"/>
    </sheetView>
  </sheetViews>
  <sheetFormatPr defaultColWidth="9" defaultRowHeight="14.25" outlineLevelCol="5"/>
  <cols>
    <col min="1" max="1" width="19.75" style="92" customWidth="1"/>
    <col min="2" max="2" width="31.5" style="92" customWidth="1"/>
    <col min="3" max="3" width="20.25" style="92" customWidth="1"/>
    <col min="4" max="4" width="17.125" style="92" customWidth="1"/>
    <col min="5" max="16384" width="9" style="92"/>
  </cols>
  <sheetData>
    <row r="1" ht="54.75" customHeight="1" spans="1:4">
      <c r="A1" s="93" t="s">
        <v>121</v>
      </c>
      <c r="B1" s="94"/>
      <c r="C1" s="94"/>
      <c r="D1" s="94"/>
    </row>
    <row r="2" ht="35.25" customHeight="1" spans="1:4">
      <c r="A2" s="95" t="s">
        <v>102</v>
      </c>
      <c r="B2" s="95"/>
      <c r="C2" s="95"/>
      <c r="D2" s="95"/>
    </row>
    <row r="3" ht="24" customHeight="1" spans="1:4">
      <c r="A3" s="96" t="s">
        <v>122</v>
      </c>
      <c r="B3" s="97" t="s">
        <v>4</v>
      </c>
      <c r="C3" s="97"/>
      <c r="D3" s="98" t="s">
        <v>123</v>
      </c>
    </row>
    <row r="4" ht="24" customHeight="1" spans="1:4">
      <c r="A4" s="99"/>
      <c r="B4" s="100" t="s">
        <v>124</v>
      </c>
      <c r="C4" s="100" t="s">
        <v>125</v>
      </c>
      <c r="D4" s="101"/>
    </row>
    <row r="5" ht="24" customHeight="1" spans="1:6">
      <c r="A5" s="102" t="str">
        <f>IF(A12="","",IF(A6&lt;&gt;"",100,A12))</f>
        <v/>
      </c>
      <c r="B5" s="103" t="s">
        <v>126</v>
      </c>
      <c r="C5" s="104">
        <v>12</v>
      </c>
      <c r="D5" s="105" t="str">
        <f>IF(A5="","",A5*10000*C5/100)</f>
        <v/>
      </c>
      <c r="F5" s="106"/>
    </row>
    <row r="6" ht="24" customHeight="1" spans="1:6">
      <c r="A6" s="102" t="str">
        <f>IF(A7&lt;&gt;"",400,IF(A12&gt;100,A12-100,""))</f>
        <v/>
      </c>
      <c r="B6" s="103" t="s">
        <v>127</v>
      </c>
      <c r="C6" s="104">
        <v>10</v>
      </c>
      <c r="D6" s="105" t="str">
        <f t="shared" ref="D6:D11" si="0">IF(A6="","",A6*10000*C6/100)</f>
        <v/>
      </c>
      <c r="F6" s="106"/>
    </row>
    <row r="7" s="91" customFormat="1" ht="24" customHeight="1" spans="1:6">
      <c r="A7" s="107" t="str">
        <f>IF(A8&lt;&gt;"",500,IF(A12&gt;500,A12-500,""))</f>
        <v/>
      </c>
      <c r="B7" s="108" t="s">
        <v>128</v>
      </c>
      <c r="C7" s="109">
        <v>8</v>
      </c>
      <c r="D7" s="105" t="str">
        <f t="shared" si="0"/>
        <v/>
      </c>
      <c r="E7" s="92"/>
      <c r="F7" s="106"/>
    </row>
    <row r="8" ht="24" customHeight="1" spans="1:6">
      <c r="A8" s="102" t="str">
        <f>IF(A9&lt;&gt;"",4000,IF(A12&gt;1000,A12-1000,""))</f>
        <v/>
      </c>
      <c r="B8" s="103" t="s">
        <v>109</v>
      </c>
      <c r="C8" s="104">
        <v>6</v>
      </c>
      <c r="D8" s="105" t="str">
        <f t="shared" si="0"/>
        <v/>
      </c>
      <c r="F8" s="106"/>
    </row>
    <row r="9" ht="24" customHeight="1" spans="1:6">
      <c r="A9" s="102" t="str">
        <f>IF(A10&lt;&gt;"",5000,IF(A12&gt;5000,A12-5000,""))</f>
        <v/>
      </c>
      <c r="B9" s="103" t="s">
        <v>129</v>
      </c>
      <c r="C9" s="104">
        <v>3</v>
      </c>
      <c r="D9" s="105" t="str">
        <f t="shared" si="0"/>
        <v/>
      </c>
      <c r="F9" s="106"/>
    </row>
    <row r="10" ht="24" customHeight="1" spans="1:6">
      <c r="A10" s="102" t="str">
        <f>IF(A11&lt;&gt;"",40000,IF(A12&gt;10000,A12-10000,""))</f>
        <v/>
      </c>
      <c r="B10" s="103" t="s">
        <v>130</v>
      </c>
      <c r="C10" s="104">
        <v>1</v>
      </c>
      <c r="D10" s="105" t="str">
        <f t="shared" si="0"/>
        <v/>
      </c>
      <c r="F10" s="106"/>
    </row>
    <row r="11" ht="24" customHeight="1" spans="1:6">
      <c r="A11" s="102" t="str">
        <f>IF(A12&gt;50000,A12-50000,"")</f>
        <v/>
      </c>
      <c r="B11" s="103" t="s">
        <v>131</v>
      </c>
      <c r="C11" s="104">
        <v>0.5</v>
      </c>
      <c r="D11" s="105" t="str">
        <f t="shared" si="0"/>
        <v/>
      </c>
      <c r="F11" s="106"/>
    </row>
    <row r="12" ht="24" customHeight="1" spans="1:4">
      <c r="A12" s="110"/>
      <c r="B12" s="111" t="s">
        <v>22</v>
      </c>
      <c r="C12" s="112"/>
      <c r="D12" s="113">
        <f>SUM(D5:D11)</f>
        <v>0</v>
      </c>
    </row>
  </sheetData>
  <sheetProtection sheet="1" selectLockedCells="1" objects="1"/>
  <mergeCells count="5">
    <mergeCell ref="A1:D1"/>
    <mergeCell ref="A2:D2"/>
    <mergeCell ref="B3:C3"/>
    <mergeCell ref="A3:A4"/>
    <mergeCell ref="D3:D4"/>
  </mergeCells>
  <pageMargins left="0.75" right="0.75" top="1" bottom="1" header="0.5" footer="0.5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F20"/>
  <sheetViews>
    <sheetView workbookViewId="0">
      <selection activeCell="A13" sqref="A13"/>
    </sheetView>
  </sheetViews>
  <sheetFormatPr defaultColWidth="9" defaultRowHeight="14.25" outlineLevelCol="5"/>
  <cols>
    <col min="1" max="1" width="22.375" customWidth="1"/>
    <col min="2" max="2" width="27" customWidth="1"/>
    <col min="3" max="3" width="14.375" customWidth="1"/>
    <col min="4" max="4" width="14.75" customWidth="1"/>
    <col min="5" max="5" width="18.375" customWidth="1"/>
    <col min="6" max="6" width="9.125" customWidth="1"/>
  </cols>
  <sheetData>
    <row r="1" ht="24.75" customHeight="1" spans="1:5">
      <c r="A1" s="13" t="s">
        <v>0</v>
      </c>
      <c r="B1" s="13"/>
      <c r="C1" s="14"/>
      <c r="D1" s="14"/>
      <c r="E1" s="14"/>
    </row>
    <row r="2" ht="24" customHeight="1" spans="1:5">
      <c r="A2" s="12" t="s">
        <v>132</v>
      </c>
      <c r="B2" s="13"/>
      <c r="C2" s="14"/>
      <c r="D2" s="14"/>
      <c r="E2" s="14"/>
    </row>
    <row r="3" ht="24" customHeight="1" spans="1:5">
      <c r="A3" s="12" t="s">
        <v>133</v>
      </c>
      <c r="B3" s="86" t="s">
        <v>134</v>
      </c>
      <c r="C3" s="87" t="s">
        <v>135</v>
      </c>
      <c r="D3" s="87"/>
      <c r="E3" s="87"/>
    </row>
    <row r="4" ht="22.5" customHeight="1" spans="1:5">
      <c r="A4" s="15" t="s">
        <v>136</v>
      </c>
      <c r="B4" s="15"/>
      <c r="C4" s="15"/>
      <c r="D4" s="15"/>
      <c r="E4" s="15"/>
    </row>
    <row r="5" ht="27" customHeight="1" spans="1:5">
      <c r="A5" s="16" t="s">
        <v>137</v>
      </c>
      <c r="B5" s="17" t="s">
        <v>4</v>
      </c>
      <c r="C5" s="17"/>
      <c r="D5" s="17" t="s">
        <v>138</v>
      </c>
      <c r="E5" s="18" t="s">
        <v>7</v>
      </c>
    </row>
    <row r="6" ht="27" customHeight="1" spans="1:5">
      <c r="A6" s="19"/>
      <c r="B6" s="20" t="s">
        <v>139</v>
      </c>
      <c r="C6" s="20" t="s">
        <v>140</v>
      </c>
      <c r="D6" s="21"/>
      <c r="E6" s="22"/>
    </row>
    <row r="7" ht="24.6" customHeight="1" spans="1:5">
      <c r="A7" s="23" t="str">
        <f>IF(A13&gt;0,IF(A13&lt;=20,A13,"20"),"")</f>
        <v>20</v>
      </c>
      <c r="B7" s="24" t="s">
        <v>141</v>
      </c>
      <c r="C7" s="24" t="s">
        <v>142</v>
      </c>
      <c r="D7" s="25">
        <v>800</v>
      </c>
      <c r="E7" s="26"/>
    </row>
    <row r="8" ht="24.6" customHeight="1" spans="1:5">
      <c r="A8" s="23">
        <f>IF(A13&gt;20,IF(A13&lt;=50,A13-A7,"30"),"")</f>
        <v>14</v>
      </c>
      <c r="B8" s="27" t="s">
        <v>143</v>
      </c>
      <c r="C8" s="24">
        <v>10</v>
      </c>
      <c r="D8" s="25">
        <f>IF(A8="","",A8*C8*10)</f>
        <v>1400</v>
      </c>
      <c r="E8" s="26"/>
    </row>
    <row r="9" ht="24.6" customHeight="1" spans="1:5">
      <c r="A9" s="23" t="str">
        <f>IF(A13&gt;50,IF(A13&lt;=100,A13-A7-A8,"50"),"")</f>
        <v/>
      </c>
      <c r="B9" s="27" t="s">
        <v>144</v>
      </c>
      <c r="C9" s="24">
        <v>8</v>
      </c>
      <c r="D9" s="25" t="str">
        <f>IF(A9="","",A9*C9*10)</f>
        <v/>
      </c>
      <c r="E9" s="26"/>
    </row>
    <row r="10" ht="24.6" customHeight="1" spans="1:5">
      <c r="A10" s="23" t="str">
        <f>IF(A13&gt;100,IF(A13&lt;=200,A13-A7-A8-A9,"100"),"")</f>
        <v/>
      </c>
      <c r="B10" s="34" t="s">
        <v>145</v>
      </c>
      <c r="C10" s="34">
        <v>6</v>
      </c>
      <c r="D10" s="35" t="str">
        <f>IF(A10="","",A10*C10*10)</f>
        <v/>
      </c>
      <c r="E10" s="26"/>
    </row>
    <row r="11" ht="24.6" customHeight="1" spans="1:5">
      <c r="A11" s="23" t="str">
        <f>IF(A13&gt;200,IF(A13&lt;=500,A13-A7-A8-A9-A10,"300"),"")</f>
        <v/>
      </c>
      <c r="B11" s="34" t="s">
        <v>146</v>
      </c>
      <c r="C11" s="34">
        <v>3</v>
      </c>
      <c r="D11" s="35" t="str">
        <f>IF(A11="","",A11*C11*10)</f>
        <v/>
      </c>
      <c r="E11" s="26"/>
    </row>
    <row r="12" ht="24.6" customHeight="1" spans="1:5">
      <c r="A12" s="23" t="str">
        <f>IF(A13&gt;500,A13-A7-A8-A9-A10-A11,"")</f>
        <v/>
      </c>
      <c r="B12" s="34" t="s">
        <v>147</v>
      </c>
      <c r="C12" s="34">
        <v>1</v>
      </c>
      <c r="D12" s="35" t="str">
        <f>IF(A12="","",A12*C12*10)</f>
        <v/>
      </c>
      <c r="E12" s="26"/>
    </row>
    <row r="13" ht="24.6" customHeight="1" spans="1:6">
      <c r="A13" s="28">
        <v>34</v>
      </c>
      <c r="B13" s="29" t="s">
        <v>148</v>
      </c>
      <c r="C13" s="36" t="s">
        <v>149</v>
      </c>
      <c r="D13" s="31">
        <f>SUM(D7:D12)</f>
        <v>2200</v>
      </c>
      <c r="E13" s="32"/>
      <c r="F13" s="37">
        <f>D13*11</f>
        <v>24200</v>
      </c>
    </row>
    <row r="15" spans="1:5">
      <c r="A15" s="88" t="s">
        <v>150</v>
      </c>
      <c r="B15" s="88"/>
      <c r="C15" s="88"/>
      <c r="D15" s="88"/>
      <c r="E15" s="88"/>
    </row>
    <row r="16" ht="48.6" customHeight="1" spans="1:5">
      <c r="A16" s="88" t="s">
        <v>151</v>
      </c>
      <c r="B16" s="88"/>
      <c r="C16" s="88"/>
      <c r="D16" s="88"/>
      <c r="E16" s="88"/>
    </row>
    <row r="17" spans="1:5">
      <c r="A17" s="88" t="s">
        <v>152</v>
      </c>
      <c r="B17" s="88"/>
      <c r="C17" s="88"/>
      <c r="D17" s="88"/>
      <c r="E17" s="88"/>
    </row>
    <row r="18" spans="1:5">
      <c r="A18" s="89" t="s">
        <v>153</v>
      </c>
      <c r="B18" s="89"/>
      <c r="C18" s="89"/>
      <c r="D18" s="89"/>
      <c r="E18" s="89"/>
    </row>
    <row r="19" spans="1:5">
      <c r="A19" s="90"/>
      <c r="B19" s="90"/>
      <c r="C19" s="90"/>
      <c r="D19" s="90"/>
      <c r="E19" s="90"/>
    </row>
    <row r="20" spans="1:5">
      <c r="A20" s="90"/>
      <c r="B20" s="90"/>
      <c r="C20" s="90"/>
      <c r="D20" s="90"/>
      <c r="E20" s="90"/>
    </row>
  </sheetData>
  <sheetProtection sheet="1" selectLockedCells="1" objects="1"/>
  <mergeCells count="11">
    <mergeCell ref="A1:B1"/>
    <mergeCell ref="C3:E3"/>
    <mergeCell ref="A4:E4"/>
    <mergeCell ref="B5:C5"/>
    <mergeCell ref="A15:E15"/>
    <mergeCell ref="A16:E16"/>
    <mergeCell ref="A17:E17"/>
    <mergeCell ref="A18:E18"/>
    <mergeCell ref="A5:A6"/>
    <mergeCell ref="D5:D6"/>
    <mergeCell ref="E5:E6"/>
  </mergeCells>
  <pageMargins left="0.75" right="0.75" top="1" bottom="1" header="0.5" footer="0.5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opLeftCell="A6" workbookViewId="0">
      <selection activeCell="H8" sqref="H8"/>
    </sheetView>
  </sheetViews>
  <sheetFormatPr defaultColWidth="9" defaultRowHeight="14.25" outlineLevelCol="6"/>
  <cols>
    <col min="1" max="1" width="39.875" style="64" customWidth="1"/>
    <col min="2" max="2" width="22.375" style="64" customWidth="1"/>
    <col min="3" max="3" width="12.625" style="64" customWidth="1"/>
    <col min="4" max="4" width="14.875" style="64" customWidth="1"/>
    <col min="5" max="5" width="9" style="64"/>
    <col min="6" max="6" width="20" style="64" customWidth="1"/>
    <col min="7" max="16384" width="9" style="64"/>
  </cols>
  <sheetData>
    <row r="1" ht="59.1" customHeight="1" spans="1:4">
      <c r="A1" s="65"/>
      <c r="B1" s="66"/>
      <c r="C1" s="67"/>
      <c r="D1" s="67"/>
    </row>
    <row r="2" ht="32.1" customHeight="1" spans="1:4">
      <c r="A2" s="68" t="s">
        <v>154</v>
      </c>
      <c r="B2" s="68" t="s">
        <v>155</v>
      </c>
      <c r="C2" s="68" t="s">
        <v>55</v>
      </c>
      <c r="D2" s="68" t="s">
        <v>156</v>
      </c>
    </row>
    <row r="3" ht="30" customHeight="1" spans="1:6">
      <c r="A3" s="69" t="s">
        <v>107</v>
      </c>
      <c r="B3" s="70">
        <f>IF(B4&lt;&gt;"",1000000,B13)</f>
        <v>1000000</v>
      </c>
      <c r="C3" s="71">
        <v>0.0056</v>
      </c>
      <c r="D3" s="72">
        <f>IF(B3&lt;&gt;"",B3*C3,"")</f>
        <v>5600</v>
      </c>
      <c r="F3" s="73"/>
    </row>
    <row r="4" ht="30" customHeight="1" spans="1:6">
      <c r="A4" s="69" t="s">
        <v>157</v>
      </c>
      <c r="B4" s="70">
        <f>IF(B5&lt;&gt;"",4000000,IF(B13&gt;1000000,B13-1000000,""))</f>
        <v>4000000</v>
      </c>
      <c r="C4" s="71">
        <v>0.00392</v>
      </c>
      <c r="D4" s="72">
        <f t="shared" ref="D4:D12" si="0">IF(B4&lt;&gt;"",B4*C4,"")</f>
        <v>15680</v>
      </c>
      <c r="F4" s="73"/>
    </row>
    <row r="5" ht="30" customHeight="1" spans="1:6">
      <c r="A5" s="69" t="s">
        <v>158</v>
      </c>
      <c r="B5" s="70">
        <f>IF(B6&lt;&gt;"",5000000,IF(B13&gt;5000000,B13-5000000,""))</f>
        <v>5000000</v>
      </c>
      <c r="C5" s="71">
        <v>0.00308</v>
      </c>
      <c r="D5" s="72">
        <f t="shared" si="0"/>
        <v>15400</v>
      </c>
      <c r="E5" s="74"/>
      <c r="F5" s="75"/>
    </row>
    <row r="6" ht="30" customHeight="1" spans="1:7">
      <c r="A6" s="69" t="s">
        <v>159</v>
      </c>
      <c r="B6" s="70">
        <f>IF(B7&lt;&gt;"",40000000,IF(B13&gt;10000000,B13-10000000,""))</f>
        <v>5626605</v>
      </c>
      <c r="C6" s="71">
        <v>0.00196</v>
      </c>
      <c r="D6" s="72">
        <f t="shared" si="0"/>
        <v>11028.1458</v>
      </c>
      <c r="E6" s="74"/>
      <c r="F6" s="76"/>
      <c r="G6" s="77"/>
    </row>
    <row r="7" ht="30" customHeight="1" spans="1:7">
      <c r="A7" s="69" t="s">
        <v>160</v>
      </c>
      <c r="B7" s="70" t="str">
        <f>IF(B8&lt;&gt;"",50000000,IF(B13&gt;50000000,B13-50000000,""))</f>
        <v/>
      </c>
      <c r="C7" s="71">
        <v>0.00112</v>
      </c>
      <c r="D7" s="72" t="str">
        <f t="shared" si="0"/>
        <v/>
      </c>
      <c r="E7" s="74"/>
      <c r="F7" s="76"/>
      <c r="G7" s="77"/>
    </row>
    <row r="8" ht="30" customHeight="1" spans="1:7">
      <c r="A8" s="69" t="s">
        <v>161</v>
      </c>
      <c r="B8" s="70" t="str">
        <f>IF(B9&lt;&gt;"",400000000,IF(B13&gt;100000000,B13-100000000,""))</f>
        <v/>
      </c>
      <c r="C8" s="71">
        <v>0.00028</v>
      </c>
      <c r="D8" s="72" t="str">
        <f t="shared" si="0"/>
        <v/>
      </c>
      <c r="E8" s="74"/>
      <c r="F8" s="76"/>
      <c r="G8" s="77"/>
    </row>
    <row r="9" ht="30" customHeight="1" spans="1:7">
      <c r="A9" s="69" t="s">
        <v>162</v>
      </c>
      <c r="B9" s="70" t="str">
        <f>IF(B10&lt;&gt;"",500000000,IF(B13&gt;500000000,B13-500000000,""))</f>
        <v/>
      </c>
      <c r="C9" s="71">
        <v>0.000196</v>
      </c>
      <c r="D9" s="72" t="str">
        <f t="shared" si="0"/>
        <v/>
      </c>
      <c r="E9" s="74"/>
      <c r="F9" s="76"/>
      <c r="G9" s="77"/>
    </row>
    <row r="10" ht="30" customHeight="1" spans="1:7">
      <c r="A10" s="69" t="s">
        <v>163</v>
      </c>
      <c r="B10" s="70" t="str">
        <f>IF(B11&lt;&gt;"",4000000000,IF(B13&gt;1000000000,B13-1000000000,""))</f>
        <v/>
      </c>
      <c r="C10" s="71">
        <v>4.48e-5</v>
      </c>
      <c r="D10" s="72" t="str">
        <f t="shared" si="0"/>
        <v/>
      </c>
      <c r="E10" s="74"/>
      <c r="F10" s="76"/>
      <c r="G10" s="77"/>
    </row>
    <row r="11" ht="30" customHeight="1" spans="1:7">
      <c r="A11" s="69" t="s">
        <v>164</v>
      </c>
      <c r="B11" s="70" t="str">
        <f>IF(B12&lt;&gt;"",4000000000,IF(B13&gt;5000000000,B13-5000000000,""))</f>
        <v/>
      </c>
      <c r="C11" s="71">
        <v>3.36e-5</v>
      </c>
      <c r="D11" s="72" t="str">
        <f t="shared" si="0"/>
        <v/>
      </c>
      <c r="E11" s="74"/>
      <c r="F11" s="76"/>
      <c r="G11" s="77"/>
    </row>
    <row r="12" ht="30" customHeight="1" spans="1:7">
      <c r="A12" s="69" t="s">
        <v>165</v>
      </c>
      <c r="B12" s="70" t="str">
        <f>IF(B13&gt;10000000000,B13-10000000000,"")</f>
        <v/>
      </c>
      <c r="C12" s="71">
        <v>2.24e-5</v>
      </c>
      <c r="D12" s="72" t="str">
        <f t="shared" si="0"/>
        <v/>
      </c>
      <c r="E12" s="74"/>
      <c r="F12" s="76"/>
      <c r="G12" s="77"/>
    </row>
    <row r="13" ht="30" customHeight="1" spans="1:7">
      <c r="A13" s="69" t="s">
        <v>166</v>
      </c>
      <c r="B13" s="78">
        <v>15626605</v>
      </c>
      <c r="C13" s="79"/>
      <c r="D13" s="80">
        <f>SUM(D3:D12)</f>
        <v>47708.1458</v>
      </c>
      <c r="E13" s="74"/>
      <c r="F13" s="77"/>
      <c r="G13" s="77"/>
    </row>
    <row r="14" ht="30" customHeight="1" spans="1:7">
      <c r="A14" s="69" t="s">
        <v>167</v>
      </c>
      <c r="B14" s="70"/>
      <c r="C14" s="79"/>
      <c r="D14" s="80">
        <f>D13*0.8</f>
        <v>38166.51664</v>
      </c>
      <c r="E14" s="74"/>
      <c r="F14" s="77"/>
      <c r="G14" s="77"/>
    </row>
    <row r="15" ht="30" customHeight="1" spans="1:4">
      <c r="A15" s="81" t="s">
        <v>168</v>
      </c>
      <c r="B15" s="82"/>
      <c r="C15" s="83"/>
      <c r="D15" s="72"/>
    </row>
    <row r="16" ht="30" customHeight="1" spans="1:4">
      <c r="A16" s="81" t="s">
        <v>169</v>
      </c>
      <c r="B16" s="82"/>
      <c r="C16" s="83"/>
      <c r="D16" s="72"/>
    </row>
    <row r="17" ht="30" customHeight="1" spans="1:4">
      <c r="A17" s="81" t="s">
        <v>170</v>
      </c>
      <c r="B17" s="82"/>
      <c r="C17" s="83"/>
      <c r="D17" s="72">
        <f>D14+D15+D16</f>
        <v>38166.51664</v>
      </c>
    </row>
    <row r="18" ht="30" customHeight="1" spans="1:4">
      <c r="A18" s="84" t="s">
        <v>171</v>
      </c>
      <c r="B18" s="84"/>
      <c r="C18" s="84"/>
      <c r="D18" s="85"/>
    </row>
  </sheetData>
  <mergeCells count="1">
    <mergeCell ref="A18:D18"/>
  </mergeCells>
  <pageMargins left="0.16" right="0.16" top="1" bottom="1" header="0.511111111111111" footer="0.511111111111111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  <rangeList sheetStid="26" master="" otherUserPermission="visible"/>
  <rangeList sheetStid="19" master="" otherUserPermission="visible"/>
  <rangeList sheetStid="27" master="" otherUserPermission="visible"/>
  <rangeList sheetStid="20" master="" otherUserPermission="visible"/>
  <rangeList sheetStid="36" master="" otherUserPermission="visible"/>
  <rangeList sheetStid="22" master="" otherUserPermission="visible"/>
  <rangeList sheetStid="8" master="" otherUserPermission="visible"/>
  <rangeList sheetStid="24" master="" otherUserPermission="visible"/>
  <rangeList sheetStid="12" master="" otherUserPermission="visible"/>
  <rangeList sheetStid="28" master="" otherUserPermission="visible"/>
  <rangeList sheetStid="13" master="" otherUserPermission="visible"/>
  <rangeList sheetStid="29" master="" otherUserPermission="visible"/>
  <rangeList sheetStid="17" master="" otherUserPermission="visible"/>
  <rangeList sheetStid="30" master="" otherUserPermission="visible"/>
  <rangeList sheetStid="14" master="" otherUserPermission="visible"/>
  <rangeList sheetStid="31" master="" otherUserPermission="visible"/>
  <rangeList sheetStid="10" master="" otherUserPermission="visible"/>
  <rangeList sheetStid="32" master="" otherUserPermission="visible"/>
  <rangeList sheetStid="9" master="" otherUserPermission="visible"/>
  <rangeList sheetStid="33" master="" otherUserPermission="visible"/>
  <rangeList sheetStid="11" master="" otherUserPermission="visible"/>
  <rangeList sheetStid="34" master="" otherUserPermission="visible"/>
  <rangeList sheetStid="18" master="" otherUserPermission="visible"/>
  <rangeList sheetStid="37" master="" otherUserPermission="visible"/>
  <rangeList sheetStid="35" master="" otherUserPermission="visible"/>
  <rangeList sheetStid="15" master="" otherUserPermission="visible"/>
  <rangeList sheetStid="16" master="" otherUserPermission="visible"/>
  <rangeList sheetStid="25" master="" otherUserPermission="visible"/>
  <rangeList sheetStid="38" master="" otherUserPermission="visible"/>
  <rangeList sheetStid="39" master="" otherUserPermission="visible"/>
  <rangeList sheetStid="40" master="" otherUserPermission="visible"/>
  <rangeList sheetStid="7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wycpa</Company>
  <Application>Microsoft Excel</Application>
  <HeadingPairs>
    <vt:vector size="2" baseType="variant">
      <vt:variant>
        <vt:lpstr>工作表</vt:lpstr>
      </vt:variant>
      <vt:variant>
        <vt:i4>33</vt:i4>
      </vt:variant>
    </vt:vector>
  </HeadingPairs>
  <TitlesOfParts>
    <vt:vector size="33" baseType="lpstr">
      <vt:lpstr>年报审计收费标准</vt:lpstr>
      <vt:lpstr>会计师事务所计时收费标准</vt:lpstr>
      <vt:lpstr>验资收费标准</vt:lpstr>
      <vt:lpstr>评估机构计时收费标准</vt:lpstr>
      <vt:lpstr>评估收费标准(新）</vt:lpstr>
      <vt:lpstr>浙价服【2005】6号房地产土地评估</vt:lpstr>
      <vt:lpstr>破产管理人收费标准</vt:lpstr>
      <vt:lpstr>文证审查（司法会计）司法鉴定</vt:lpstr>
      <vt:lpstr>镇财基2013 332施工图预算</vt:lpstr>
      <vt:lpstr>01投资估算编制或审核</vt:lpstr>
      <vt:lpstr>02设计概算编制或审核</vt:lpstr>
      <vt:lpstr>设计概算编制或审核</vt:lpstr>
      <vt:lpstr>04施工图工程预算编制或审核</vt:lpstr>
      <vt:lpstr>施工图工程预算编制或审核</vt:lpstr>
      <vt:lpstr>05工程量清单及招标控制价编制或审核</vt:lpstr>
      <vt:lpstr>工程量清单单独编制或审核</vt:lpstr>
      <vt:lpstr>06工程结算编制</vt:lpstr>
      <vt:lpstr>工程结算编制</vt:lpstr>
      <vt:lpstr>07工程结算审核</vt:lpstr>
      <vt:lpstr>工程结算审核</vt:lpstr>
      <vt:lpstr>08竣工决算编制或审核</vt:lpstr>
      <vt:lpstr>竣工决算编制或审核</vt:lpstr>
      <vt:lpstr>09全过程造价咨询</vt:lpstr>
      <vt:lpstr>全过程造价咨询</vt:lpstr>
      <vt:lpstr>10施工阶段全过程造价咨询</vt:lpstr>
      <vt:lpstr>11工程结算复审</vt:lpstr>
      <vt:lpstr>工程结算复审</vt:lpstr>
      <vt:lpstr>工程量清单及预算、招标控制价编制或审核</vt:lpstr>
      <vt:lpstr>工程造价鉴定</vt:lpstr>
      <vt:lpstr>货物招标</vt:lpstr>
      <vt:lpstr>服务招标</vt:lpstr>
      <vt:lpstr>工程招标</vt:lpstr>
      <vt:lpstr>招标代理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wycpanb</dc:creator>
  <cp:lastModifiedBy>Administrator</cp:lastModifiedBy>
  <dcterms:created xsi:type="dcterms:W3CDTF">2005-06-25T01:47:00Z</dcterms:created>
  <cp:lastPrinted>2022-06-06T05:58:00Z</cp:lastPrinted>
  <dcterms:modified xsi:type="dcterms:W3CDTF">2025-10-28T07:24:58Z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4d0233bc</vt:lpwstr>
  </property>
  <property fmtid="{D5CDD505-2E9C-101B-9397-08002B2CF9AE}" pid="3" name="ICV">
    <vt:lpwstr>DD8225A89BD3440E852729893D3D8C8B_13</vt:lpwstr>
  </property>
  <property fmtid="{D5CDD505-2E9C-101B-9397-08002B2CF9AE}" pid="4" name="KSOProductBuildVer">
    <vt:lpwstr>2052-12.1.0.23125</vt:lpwstr>
  </property>
</Properties>
</file>