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y\Desktop\史考姆咨询\"/>
    </mc:Choice>
  </mc:AlternateContent>
  <xr:revisionPtr revIDLastSave="0" documentId="13_ncr:1_{56536EF6-F981-408D-9C5E-2D468A1F240A}" xr6:coauthVersionLast="45" xr6:coauthVersionMax="45" xr10:uidLastSave="{00000000-0000-0000-0000-000000000000}"/>
  <bookViews>
    <workbookView xWindow="-109" yWindow="-109" windowWidth="18775" windowHeight="10067" tabRatio="725" activeTab="1" xr2:uid="{2A5283BD-CE4C-4676-9AC0-98314B182F80}"/>
  </bookViews>
  <sheets>
    <sheet name="Excel 1 Demand&amp; Prob" sheetId="1" r:id="rId1"/>
    <sheet name="Excel2 Statistic Basics" sheetId="2" r:id="rId2"/>
    <sheet name="Excel3 Z &amp; CSL" sheetId="3" r:id="rId3"/>
    <sheet name="Excel4 Loss Function,FR,SS,ExpI" sheetId="4" r:id="rId4"/>
    <sheet name="Excel5 Forecast, MAD, MSE,MAPE" sheetId="6" r:id="rId5"/>
    <sheet name="Excel6 ME, MAD, RMSE" sheetId="5" r:id="rId6"/>
    <sheet name="Excel 7-EOQ&amp;Discount Q" sheetId="9" r:id="rId7"/>
    <sheet name="Excel8 Dual-sourcing" sheetId="7" r:id="rId8"/>
    <sheet name="Excel9 Direct Shiping&amp;Crossdock" sheetId="10" r:id="rId9"/>
    <sheet name="Excel10 Single serial system " sheetId="11" r:id="rId10"/>
    <sheet name="补充Excel11 Multiple stage, Tau" sheetId="1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3" i="12" l="1"/>
  <c r="F63" i="12"/>
  <c r="E63" i="12"/>
  <c r="F62" i="12"/>
  <c r="F64" i="12" s="1"/>
  <c r="G61" i="12"/>
  <c r="G62" i="12" s="1"/>
  <c r="F61" i="12"/>
  <c r="E61" i="12"/>
  <c r="D61" i="12"/>
  <c r="C61" i="12"/>
  <c r="G46" i="12"/>
  <c r="F46" i="12"/>
  <c r="F47" i="12" s="1"/>
  <c r="E46" i="12"/>
  <c r="G44" i="12"/>
  <c r="G45" i="12" s="1"/>
  <c r="F44" i="12"/>
  <c r="F45" i="12" s="1"/>
  <c r="E44" i="12"/>
  <c r="G29" i="12"/>
  <c r="F29" i="12"/>
  <c r="E29" i="12"/>
  <c r="F28" i="12"/>
  <c r="F30" i="12" s="1"/>
  <c r="G27" i="12"/>
  <c r="G28" i="12" s="1"/>
  <c r="G30" i="12" s="1"/>
  <c r="F27" i="12"/>
  <c r="E27" i="12"/>
  <c r="D27" i="12"/>
  <c r="C27" i="12"/>
  <c r="D16" i="12"/>
  <c r="D62" i="12" s="1"/>
  <c r="D64" i="12" s="1"/>
  <c r="D15" i="12"/>
  <c r="W44" i="5"/>
  <c r="W36" i="5"/>
  <c r="W35" i="5"/>
  <c r="V35" i="5"/>
  <c r="M35" i="5"/>
  <c r="N35" i="5"/>
  <c r="O35" i="5" s="1"/>
  <c r="P35" i="5" s="1"/>
  <c r="D55" i="5"/>
  <c r="W54" i="5"/>
  <c r="X54" i="5" s="1"/>
  <c r="Y54" i="5" s="1"/>
  <c r="Z54" i="5" s="1"/>
  <c r="V54" i="5"/>
  <c r="O54" i="5"/>
  <c r="P54" i="5" s="1"/>
  <c r="Q54" i="5" s="1"/>
  <c r="N54" i="5"/>
  <c r="M54" i="5"/>
  <c r="X53" i="5"/>
  <c r="Y53" i="5" s="1"/>
  <c r="Z53" i="5" s="1"/>
  <c r="W53" i="5"/>
  <c r="V53" i="5"/>
  <c r="P53" i="5"/>
  <c r="Q53" i="5" s="1"/>
  <c r="O53" i="5"/>
  <c r="N53" i="5"/>
  <c r="M53" i="5"/>
  <c r="Y52" i="5"/>
  <c r="Z52" i="5" s="1"/>
  <c r="X52" i="5"/>
  <c r="W52" i="5"/>
  <c r="V52" i="5"/>
  <c r="M52" i="5"/>
  <c r="N52" i="5" s="1"/>
  <c r="O52" i="5" s="1"/>
  <c r="P52" i="5" s="1"/>
  <c r="Q52" i="5" s="1"/>
  <c r="V51" i="5"/>
  <c r="W51" i="5" s="1"/>
  <c r="X51" i="5" s="1"/>
  <c r="Y51" i="5" s="1"/>
  <c r="Z51" i="5" s="1"/>
  <c r="N51" i="5"/>
  <c r="O51" i="5" s="1"/>
  <c r="P51" i="5" s="1"/>
  <c r="Q51" i="5" s="1"/>
  <c r="M51" i="5"/>
  <c r="E51" i="5"/>
  <c r="F51" i="5" s="1"/>
  <c r="G51" i="5" s="1"/>
  <c r="W50" i="5"/>
  <c r="X50" i="5" s="1"/>
  <c r="Y50" i="5" s="1"/>
  <c r="Z50" i="5" s="1"/>
  <c r="V50" i="5"/>
  <c r="O50" i="5"/>
  <c r="P50" i="5" s="1"/>
  <c r="Q50" i="5" s="1"/>
  <c r="N50" i="5"/>
  <c r="M50" i="5"/>
  <c r="X49" i="5"/>
  <c r="Y49" i="5" s="1"/>
  <c r="Z49" i="5" s="1"/>
  <c r="W49" i="5"/>
  <c r="V49" i="5"/>
  <c r="P49" i="5"/>
  <c r="Q49" i="5" s="1"/>
  <c r="O49" i="5"/>
  <c r="N49" i="5"/>
  <c r="M49" i="5"/>
  <c r="W48" i="5"/>
  <c r="X48" i="5" s="1"/>
  <c r="Y48" i="5" s="1"/>
  <c r="Z48" i="5" s="1"/>
  <c r="V48" i="5"/>
  <c r="M48" i="5"/>
  <c r="N48" i="5" s="1"/>
  <c r="O48" i="5" s="1"/>
  <c r="P48" i="5" s="1"/>
  <c r="Q48" i="5" s="1"/>
  <c r="V47" i="5"/>
  <c r="W47" i="5" s="1"/>
  <c r="X47" i="5" s="1"/>
  <c r="Y47" i="5" s="1"/>
  <c r="Z47" i="5" s="1"/>
  <c r="N47" i="5"/>
  <c r="O47" i="5" s="1"/>
  <c r="P47" i="5" s="1"/>
  <c r="Q47" i="5" s="1"/>
  <c r="M47" i="5"/>
  <c r="E47" i="5"/>
  <c r="F47" i="5" s="1"/>
  <c r="G47" i="5" s="1"/>
  <c r="W46" i="5"/>
  <c r="X46" i="5" s="1"/>
  <c r="Y46" i="5" s="1"/>
  <c r="Z46" i="5" s="1"/>
  <c r="V46" i="5"/>
  <c r="O46" i="5"/>
  <c r="P46" i="5" s="1"/>
  <c r="Q46" i="5" s="1"/>
  <c r="N46" i="5"/>
  <c r="M46" i="5"/>
  <c r="V45" i="5"/>
  <c r="W45" i="5" s="1"/>
  <c r="X45" i="5" s="1"/>
  <c r="Y45" i="5" s="1"/>
  <c r="Z45" i="5" s="1"/>
  <c r="P45" i="5"/>
  <c r="Q45" i="5" s="1"/>
  <c r="N45" i="5"/>
  <c r="O45" i="5" s="1"/>
  <c r="M45" i="5"/>
  <c r="Y44" i="5"/>
  <c r="Z44" i="5" s="1"/>
  <c r="X44" i="5"/>
  <c r="V44" i="5"/>
  <c r="M44" i="5"/>
  <c r="N44" i="5" s="1"/>
  <c r="O44" i="5" s="1"/>
  <c r="P44" i="5" s="1"/>
  <c r="Q44" i="5" s="1"/>
  <c r="V43" i="5"/>
  <c r="W43" i="5" s="1"/>
  <c r="X43" i="5" s="1"/>
  <c r="Y43" i="5" s="1"/>
  <c r="Z43" i="5" s="1"/>
  <c r="N43" i="5"/>
  <c r="O43" i="5" s="1"/>
  <c r="P43" i="5" s="1"/>
  <c r="Q43" i="5" s="1"/>
  <c r="M43" i="5"/>
  <c r="W42" i="5"/>
  <c r="X42" i="5" s="1"/>
  <c r="Y42" i="5" s="1"/>
  <c r="Z42" i="5" s="1"/>
  <c r="V42" i="5"/>
  <c r="O42" i="5"/>
  <c r="P42" i="5" s="1"/>
  <c r="Q42" i="5" s="1"/>
  <c r="N42" i="5"/>
  <c r="M42" i="5"/>
  <c r="X41" i="5"/>
  <c r="Y41" i="5" s="1"/>
  <c r="Z41" i="5" s="1"/>
  <c r="W41" i="5"/>
  <c r="V41" i="5"/>
  <c r="P41" i="5"/>
  <c r="Q41" i="5" s="1"/>
  <c r="O41" i="5"/>
  <c r="N41" i="5"/>
  <c r="M41" i="5"/>
  <c r="Y40" i="5"/>
  <c r="Z40" i="5" s="1"/>
  <c r="X40" i="5"/>
  <c r="W40" i="5"/>
  <c r="V40" i="5"/>
  <c r="Q40" i="5"/>
  <c r="M40" i="5"/>
  <c r="N40" i="5" s="1"/>
  <c r="O40" i="5" s="1"/>
  <c r="P40" i="5" s="1"/>
  <c r="V39" i="5"/>
  <c r="W39" i="5" s="1"/>
  <c r="X39" i="5" s="1"/>
  <c r="Y39" i="5" s="1"/>
  <c r="Z39" i="5" s="1"/>
  <c r="N39" i="5"/>
  <c r="O39" i="5" s="1"/>
  <c r="P39" i="5" s="1"/>
  <c r="Q39" i="5" s="1"/>
  <c r="M39" i="5"/>
  <c r="E39" i="5"/>
  <c r="F39" i="5" s="1"/>
  <c r="G39" i="5" s="1"/>
  <c r="W38" i="5"/>
  <c r="X38" i="5" s="1"/>
  <c r="Y38" i="5" s="1"/>
  <c r="Z38" i="5" s="1"/>
  <c r="V38" i="5"/>
  <c r="O38" i="5"/>
  <c r="P38" i="5" s="1"/>
  <c r="Q38" i="5" s="1"/>
  <c r="N38" i="5"/>
  <c r="M38" i="5"/>
  <c r="X37" i="5"/>
  <c r="Y37" i="5" s="1"/>
  <c r="Z37" i="5" s="1"/>
  <c r="W37" i="5"/>
  <c r="V37" i="5"/>
  <c r="P37" i="5"/>
  <c r="Q37" i="5" s="1"/>
  <c r="O37" i="5"/>
  <c r="N37" i="5"/>
  <c r="M37" i="5"/>
  <c r="Y36" i="5"/>
  <c r="Z36" i="5" s="1"/>
  <c r="X36" i="5"/>
  <c r="V36" i="5"/>
  <c r="M36" i="5"/>
  <c r="N36" i="5" s="1"/>
  <c r="O36" i="5" s="1"/>
  <c r="P36" i="5" s="1"/>
  <c r="Q36" i="5" s="1"/>
  <c r="X35" i="5"/>
  <c r="Y35" i="5" s="1"/>
  <c r="Z35" i="5" s="1"/>
  <c r="E35" i="5"/>
  <c r="F35" i="5" s="1"/>
  <c r="M23" i="5"/>
  <c r="I23" i="5"/>
  <c r="H23" i="5"/>
  <c r="K23" i="5" s="1"/>
  <c r="G23" i="5"/>
  <c r="J23" i="5" s="1"/>
  <c r="N22" i="5"/>
  <c r="M22" i="5"/>
  <c r="J22" i="5"/>
  <c r="I22" i="5"/>
  <c r="L22" i="5" s="1"/>
  <c r="H22" i="5"/>
  <c r="K22" i="5" s="1"/>
  <c r="G22" i="5"/>
  <c r="O21" i="5"/>
  <c r="N21" i="5"/>
  <c r="K21" i="5"/>
  <c r="I21" i="5"/>
  <c r="L21" i="5" s="1"/>
  <c r="H21" i="5"/>
  <c r="G21" i="5"/>
  <c r="O20" i="5"/>
  <c r="L20" i="5"/>
  <c r="I20" i="5"/>
  <c r="H20" i="5"/>
  <c r="G20" i="5"/>
  <c r="J20" i="5" s="1"/>
  <c r="M19" i="5"/>
  <c r="I19" i="5"/>
  <c r="H19" i="5"/>
  <c r="K19" i="5" s="1"/>
  <c r="G19" i="5"/>
  <c r="J19" i="5" s="1"/>
  <c r="N18" i="5"/>
  <c r="M18" i="5"/>
  <c r="J18" i="5"/>
  <c r="I18" i="5"/>
  <c r="L18" i="5" s="1"/>
  <c r="H18" i="5"/>
  <c r="K18" i="5" s="1"/>
  <c r="G18" i="5"/>
  <c r="O17" i="5"/>
  <c r="N17" i="5"/>
  <c r="K17" i="5"/>
  <c r="I17" i="5"/>
  <c r="L17" i="5" s="1"/>
  <c r="H17" i="5"/>
  <c r="G17" i="5"/>
  <c r="O16" i="5"/>
  <c r="L16" i="5"/>
  <c r="I16" i="5"/>
  <c r="H16" i="5"/>
  <c r="G16" i="5"/>
  <c r="J16" i="5" s="1"/>
  <c r="M15" i="5"/>
  <c r="I15" i="5"/>
  <c r="H15" i="5"/>
  <c r="K15" i="5" s="1"/>
  <c r="G15" i="5"/>
  <c r="J15" i="5" s="1"/>
  <c r="N14" i="5"/>
  <c r="M14" i="5"/>
  <c r="J14" i="5"/>
  <c r="I14" i="5"/>
  <c r="L14" i="5" s="1"/>
  <c r="H14" i="5"/>
  <c r="K14" i="5" s="1"/>
  <c r="G14" i="5"/>
  <c r="O13" i="5"/>
  <c r="N13" i="5"/>
  <c r="K13" i="5"/>
  <c r="I13" i="5"/>
  <c r="L13" i="5" s="1"/>
  <c r="H13" i="5"/>
  <c r="G13" i="5"/>
  <c r="O12" i="5"/>
  <c r="L12" i="5"/>
  <c r="I12" i="5"/>
  <c r="H12" i="5"/>
  <c r="G12" i="5"/>
  <c r="J12" i="5" s="1"/>
  <c r="M11" i="5"/>
  <c r="I11" i="5"/>
  <c r="H11" i="5"/>
  <c r="K11" i="5" s="1"/>
  <c r="G11" i="5"/>
  <c r="J11" i="5" s="1"/>
  <c r="N10" i="5"/>
  <c r="M10" i="5"/>
  <c r="J10" i="5"/>
  <c r="I10" i="5"/>
  <c r="L10" i="5" s="1"/>
  <c r="H10" i="5"/>
  <c r="K10" i="5" s="1"/>
  <c r="G10" i="5"/>
  <c r="O9" i="5"/>
  <c r="N9" i="5"/>
  <c r="K9" i="5"/>
  <c r="I9" i="5"/>
  <c r="L9" i="5" s="1"/>
  <c r="H9" i="5"/>
  <c r="G9" i="5"/>
  <c r="O8" i="5"/>
  <c r="L8" i="5"/>
  <c r="I8" i="5"/>
  <c r="H8" i="5"/>
  <c r="G8" i="5"/>
  <c r="M7" i="5"/>
  <c r="I7" i="5"/>
  <c r="O7" i="5" s="1"/>
  <c r="H7" i="5"/>
  <c r="G7" i="5"/>
  <c r="J7" i="5" s="1"/>
  <c r="O6" i="5"/>
  <c r="N6" i="5"/>
  <c r="L6" i="5"/>
  <c r="K6" i="5"/>
  <c r="J6" i="5"/>
  <c r="I6" i="5"/>
  <c r="H6" i="5"/>
  <c r="G6" i="5"/>
  <c r="M6" i="5" s="1"/>
  <c r="O5" i="5"/>
  <c r="L5" i="5"/>
  <c r="K5" i="5"/>
  <c r="I5" i="5"/>
  <c r="H5" i="5"/>
  <c r="N5" i="5" s="1"/>
  <c r="G5" i="5"/>
  <c r="J5" i="5" s="1"/>
  <c r="M4" i="5"/>
  <c r="L4" i="5"/>
  <c r="J4" i="5"/>
  <c r="I4" i="5"/>
  <c r="O4" i="5" s="1"/>
  <c r="H4" i="5"/>
  <c r="K4" i="5" s="1"/>
  <c r="G4" i="5"/>
  <c r="G47" i="12" l="1"/>
  <c r="G64" i="12"/>
  <c r="E28" i="12"/>
  <c r="E30" i="12" s="1"/>
  <c r="D45" i="12"/>
  <c r="D47" i="12" s="1"/>
  <c r="E62" i="12"/>
  <c r="E64" i="12" s="1"/>
  <c r="C28" i="12"/>
  <c r="C30" i="12" s="1"/>
  <c r="C62" i="12"/>
  <c r="C64" i="12" s="1"/>
  <c r="E45" i="12"/>
  <c r="E47" i="12" s="1"/>
  <c r="D28" i="12"/>
  <c r="D30" i="12" s="1"/>
  <c r="C45" i="12"/>
  <c r="C47" i="12" s="1"/>
  <c r="G48" i="12" s="1"/>
  <c r="Z55" i="5"/>
  <c r="K8" i="5"/>
  <c r="N8" i="5"/>
  <c r="L19" i="5"/>
  <c r="O19" i="5"/>
  <c r="L7" i="5"/>
  <c r="K12" i="5"/>
  <c r="N12" i="5"/>
  <c r="J13" i="5"/>
  <c r="M13" i="5"/>
  <c r="L23" i="5"/>
  <c r="O23" i="5"/>
  <c r="G35" i="5"/>
  <c r="E54" i="5"/>
  <c r="F54" i="5" s="1"/>
  <c r="G54" i="5" s="1"/>
  <c r="E50" i="5"/>
  <c r="F50" i="5" s="1"/>
  <c r="G50" i="5" s="1"/>
  <c r="E46" i="5"/>
  <c r="F46" i="5" s="1"/>
  <c r="G46" i="5" s="1"/>
  <c r="E42" i="5"/>
  <c r="F42" i="5" s="1"/>
  <c r="G42" i="5" s="1"/>
  <c r="E38" i="5"/>
  <c r="F38" i="5" s="1"/>
  <c r="G38" i="5" s="1"/>
  <c r="E53" i="5"/>
  <c r="F53" i="5" s="1"/>
  <c r="G53" i="5" s="1"/>
  <c r="E49" i="5"/>
  <c r="F49" i="5" s="1"/>
  <c r="G49" i="5" s="1"/>
  <c r="E45" i="5"/>
  <c r="F45" i="5" s="1"/>
  <c r="G45" i="5" s="1"/>
  <c r="E41" i="5"/>
  <c r="F41" i="5" s="1"/>
  <c r="G41" i="5" s="1"/>
  <c r="E37" i="5"/>
  <c r="F37" i="5" s="1"/>
  <c r="G37" i="5" s="1"/>
  <c r="E52" i="5"/>
  <c r="F52" i="5" s="1"/>
  <c r="G52" i="5" s="1"/>
  <c r="E48" i="5"/>
  <c r="F48" i="5" s="1"/>
  <c r="G48" i="5" s="1"/>
  <c r="E44" i="5"/>
  <c r="F44" i="5" s="1"/>
  <c r="G44" i="5" s="1"/>
  <c r="E40" i="5"/>
  <c r="F40" i="5" s="1"/>
  <c r="G40" i="5" s="1"/>
  <c r="E36" i="5"/>
  <c r="F36" i="5" s="1"/>
  <c r="G36" i="5" s="1"/>
  <c r="J9" i="5"/>
  <c r="M9" i="5"/>
  <c r="Y55" i="5"/>
  <c r="N4" i="5"/>
  <c r="M5" i="5"/>
  <c r="J26" i="5" s="1"/>
  <c r="J27" i="5" s="1"/>
  <c r="L11" i="5"/>
  <c r="L25" i="5" s="1"/>
  <c r="O11" i="5"/>
  <c r="K16" i="5"/>
  <c r="N16" i="5"/>
  <c r="J17" i="5"/>
  <c r="M17" i="5"/>
  <c r="K7" i="5"/>
  <c r="K25" i="5" s="1"/>
  <c r="N7" i="5"/>
  <c r="J8" i="5"/>
  <c r="J25" i="5" s="1"/>
  <c r="M8" i="5"/>
  <c r="L15" i="5"/>
  <c r="O15" i="5"/>
  <c r="K20" i="5"/>
  <c r="N20" i="5"/>
  <c r="J21" i="5"/>
  <c r="M21" i="5"/>
  <c r="Q35" i="5"/>
  <c r="Q55" i="5" s="1"/>
  <c r="P55" i="5"/>
  <c r="E43" i="5"/>
  <c r="F43" i="5" s="1"/>
  <c r="G43" i="5" s="1"/>
  <c r="O10" i="5"/>
  <c r="L26" i="5" s="1"/>
  <c r="L27" i="5" s="1"/>
  <c r="N11" i="5"/>
  <c r="M12" i="5"/>
  <c r="O14" i="5"/>
  <c r="N15" i="5"/>
  <c r="M16" i="5"/>
  <c r="O18" i="5"/>
  <c r="N19" i="5"/>
  <c r="M20" i="5"/>
  <c r="O22" i="5"/>
  <c r="N23" i="5"/>
  <c r="G65" i="12" l="1"/>
  <c r="G31" i="12"/>
  <c r="K26" i="5"/>
  <c r="K27" i="5" s="1"/>
  <c r="F56" i="5"/>
  <c r="F57" i="5"/>
  <c r="F58" i="5" s="1"/>
  <c r="C57" i="11" l="1"/>
  <c r="C58" i="11" s="1"/>
  <c r="D56" i="11"/>
  <c r="E56" i="11" s="1"/>
  <c r="F57" i="11" s="1"/>
  <c r="F58" i="11" s="1"/>
  <c r="F55" i="11"/>
  <c r="E55" i="11"/>
  <c r="D55" i="11"/>
  <c r="C55" i="11"/>
  <c r="F39" i="11"/>
  <c r="F40" i="11" s="1"/>
  <c r="E39" i="11"/>
  <c r="E40" i="11" s="1"/>
  <c r="E42" i="11" s="1"/>
  <c r="D39" i="11"/>
  <c r="D40" i="11" s="1"/>
  <c r="D42" i="11" s="1"/>
  <c r="C39" i="11"/>
  <c r="C40" i="11" s="1"/>
  <c r="C42" i="11" s="1"/>
  <c r="F37" i="11"/>
  <c r="E37" i="11"/>
  <c r="D37" i="11"/>
  <c r="C37" i="11"/>
  <c r="F18" i="11"/>
  <c r="C18" i="11"/>
  <c r="F16" i="11"/>
  <c r="E16" i="11"/>
  <c r="D16" i="11"/>
  <c r="C16" i="11"/>
  <c r="C59" i="11" l="1"/>
  <c r="F59" i="11"/>
  <c r="D57" i="11"/>
  <c r="D58" i="11" s="1"/>
  <c r="D59" i="11" s="1"/>
  <c r="F42" i="11"/>
  <c r="F43" i="11" s="1"/>
  <c r="B46" i="11" s="1"/>
  <c r="B32" i="11"/>
  <c r="C19" i="11"/>
  <c r="C20" i="11" s="1"/>
  <c r="D18" i="11"/>
  <c r="E57" i="11"/>
  <c r="E58" i="11" s="1"/>
  <c r="E59" i="11" s="1"/>
  <c r="F60" i="11" s="1"/>
  <c r="C8" i="9"/>
  <c r="C28" i="9"/>
  <c r="C25" i="4"/>
  <c r="H3" i="10"/>
  <c r="C37" i="10"/>
  <c r="C38" i="10" s="1"/>
  <c r="C36" i="10"/>
  <c r="C35" i="10"/>
  <c r="C24" i="10"/>
  <c r="C23" i="10"/>
  <c r="C25" i="10" s="1"/>
  <c r="C22" i="10"/>
  <c r="C15" i="10"/>
  <c r="C14" i="10"/>
  <c r="C13" i="10"/>
  <c r="C27" i="10" s="1"/>
  <c r="E18" i="11" l="1"/>
  <c r="F19" i="11" s="1"/>
  <c r="F20" i="11" s="1"/>
  <c r="D19" i="11"/>
  <c r="D20" i="11" s="1"/>
  <c r="C26" i="10"/>
  <c r="C28" i="10" s="1"/>
  <c r="C39" i="10"/>
  <c r="C25" i="11" l="1"/>
  <c r="F22" i="11"/>
  <c r="B30" i="11" s="1"/>
  <c r="E19" i="11"/>
  <c r="E20" i="11" s="1"/>
  <c r="C10" i="7"/>
  <c r="D41" i="9" l="1"/>
  <c r="D24" i="9"/>
  <c r="C27" i="9" l="1"/>
  <c r="C26" i="9"/>
  <c r="C12" i="9"/>
  <c r="C14" i="9"/>
  <c r="C13" i="9" l="1"/>
  <c r="D40" i="9" s="1"/>
  <c r="D42" i="9" s="1"/>
  <c r="D30" i="7" l="1"/>
  <c r="C30" i="7"/>
  <c r="D29" i="7"/>
  <c r="D31" i="7" s="1"/>
  <c r="C29" i="7"/>
  <c r="D28" i="7"/>
  <c r="C28" i="7"/>
  <c r="C17" i="7"/>
  <c r="C16" i="7"/>
  <c r="D10" i="7"/>
  <c r="C31" i="7"/>
  <c r="H36" i="6"/>
  <c r="H28" i="6"/>
  <c r="C58" i="6"/>
  <c r="D58" i="6" s="1"/>
  <c r="C57" i="6"/>
  <c r="D57" i="6" s="1"/>
  <c r="L34" i="6"/>
  <c r="M35" i="6" s="1"/>
  <c r="C34" i="6"/>
  <c r="D35" i="6" s="1"/>
  <c r="L33" i="6"/>
  <c r="M34" i="6" s="1"/>
  <c r="N34" i="6" s="1"/>
  <c r="C33" i="6"/>
  <c r="D34" i="6" s="1"/>
  <c r="E34" i="6" s="1"/>
  <c r="F34" i="6" s="1"/>
  <c r="L32" i="6"/>
  <c r="M33" i="6" s="1"/>
  <c r="N33" i="6" s="1"/>
  <c r="C32" i="6"/>
  <c r="D33" i="6" s="1"/>
  <c r="E33" i="6" s="1"/>
  <c r="F33" i="6" s="1"/>
  <c r="N31" i="6"/>
  <c r="P31" i="6" s="1"/>
  <c r="L31" i="6"/>
  <c r="M32" i="6" s="1"/>
  <c r="N32" i="6" s="1"/>
  <c r="C31" i="6"/>
  <c r="D32" i="6" s="1"/>
  <c r="E32" i="6" s="1"/>
  <c r="F32" i="6" s="1"/>
  <c r="L30" i="6"/>
  <c r="M31" i="6" s="1"/>
  <c r="C30" i="6"/>
  <c r="D31" i="6" s="1"/>
  <c r="E31" i="6" s="1"/>
  <c r="F31" i="6" s="1"/>
  <c r="L29" i="6"/>
  <c r="M30" i="6" s="1"/>
  <c r="N30" i="6" s="1"/>
  <c r="C29" i="6"/>
  <c r="D30" i="6" s="1"/>
  <c r="E30" i="6" s="1"/>
  <c r="F30" i="6" s="1"/>
  <c r="C28" i="6"/>
  <c r="D29" i="6" s="1"/>
  <c r="E29" i="6" s="1"/>
  <c r="F29" i="6" s="1"/>
  <c r="C27" i="6"/>
  <c r="D28" i="6" s="1"/>
  <c r="E28" i="6" s="1"/>
  <c r="F28" i="6" s="1"/>
  <c r="C14" i="6"/>
  <c r="D15" i="6" s="1"/>
  <c r="C13" i="6"/>
  <c r="D14" i="6" s="1"/>
  <c r="E14" i="6" s="1"/>
  <c r="F14" i="6" s="1"/>
  <c r="C12" i="6"/>
  <c r="D13" i="6" s="1"/>
  <c r="E13" i="6" s="1"/>
  <c r="F13" i="6" s="1"/>
  <c r="C11" i="6"/>
  <c r="D12" i="6" s="1"/>
  <c r="E12" i="6" s="1"/>
  <c r="F12" i="6" s="1"/>
  <c r="C10" i="6"/>
  <c r="D11" i="6" s="1"/>
  <c r="E11" i="6" s="1"/>
  <c r="F11" i="6" s="1"/>
  <c r="E9" i="6"/>
  <c r="F9" i="6" s="1"/>
  <c r="C9" i="6"/>
  <c r="D10" i="6" s="1"/>
  <c r="E10" i="6" s="1"/>
  <c r="F10" i="6" s="1"/>
  <c r="C8" i="6"/>
  <c r="D9" i="6" s="1"/>
  <c r="C7" i="6"/>
  <c r="D8" i="6" s="1"/>
  <c r="E8" i="6" s="1"/>
  <c r="F8" i="6" s="1"/>
  <c r="C6" i="6"/>
  <c r="D7" i="6" s="1"/>
  <c r="E7" i="6" s="1"/>
  <c r="F7" i="6" s="1"/>
  <c r="F57" i="6" l="1"/>
  <c r="E57" i="6"/>
  <c r="G57" i="6" s="1"/>
  <c r="C59" i="6"/>
  <c r="G12" i="6"/>
  <c r="H12" i="6"/>
  <c r="O30" i="6"/>
  <c r="P30" i="6"/>
  <c r="P32" i="6"/>
  <c r="O32" i="6"/>
  <c r="Q32" i="6" s="1"/>
  <c r="O33" i="6"/>
  <c r="Q33" i="6" s="1"/>
  <c r="P33" i="6"/>
  <c r="F16" i="6"/>
  <c r="H10" i="6"/>
  <c r="G10" i="6"/>
  <c r="H29" i="6"/>
  <c r="G29" i="6"/>
  <c r="O34" i="6"/>
  <c r="Q34" i="6" s="1"/>
  <c r="P34" i="6"/>
  <c r="H7" i="6"/>
  <c r="G7" i="6"/>
  <c r="H13" i="6"/>
  <c r="G13" i="6"/>
  <c r="H31" i="6"/>
  <c r="G31" i="6"/>
  <c r="G34" i="6"/>
  <c r="H34" i="6"/>
  <c r="F58" i="6"/>
  <c r="E58" i="6"/>
  <c r="G58" i="6" s="1"/>
  <c r="H32" i="6"/>
  <c r="G32" i="6"/>
  <c r="G28" i="6"/>
  <c r="H9" i="6"/>
  <c r="G9" i="6"/>
  <c r="H8" i="6"/>
  <c r="G8" i="6"/>
  <c r="H11" i="6"/>
  <c r="G11" i="6"/>
  <c r="H14" i="6"/>
  <c r="G14" i="6"/>
  <c r="F36" i="6"/>
  <c r="H30" i="6"/>
  <c r="G30" i="6"/>
  <c r="G33" i="6"/>
  <c r="H33" i="6"/>
  <c r="O31" i="6"/>
  <c r="Q31" i="6" s="1"/>
  <c r="C60" i="6"/>
  <c r="D59" i="6"/>
  <c r="G16" i="6" l="1"/>
  <c r="G36" i="6"/>
  <c r="P36" i="6"/>
  <c r="Q30" i="6"/>
  <c r="Q36" i="6" s="1"/>
  <c r="O36" i="6"/>
  <c r="H16" i="6"/>
  <c r="E59" i="6"/>
  <c r="G59" i="6" s="1"/>
  <c r="F59" i="6"/>
  <c r="C61" i="6"/>
  <c r="D60" i="6"/>
  <c r="C62" i="6" l="1"/>
  <c r="D61" i="6"/>
  <c r="E60" i="6"/>
  <c r="G60" i="6" s="1"/>
  <c r="F60" i="6"/>
  <c r="F61" i="6" l="1"/>
  <c r="E61" i="6"/>
  <c r="G61" i="6" s="1"/>
  <c r="D62" i="6"/>
  <c r="C63" i="6"/>
  <c r="C64" i="6" l="1"/>
  <c r="D63" i="6"/>
  <c r="F62" i="6"/>
  <c r="E62" i="6"/>
  <c r="G62" i="6" s="1"/>
  <c r="E63" i="6" l="1"/>
  <c r="F63" i="6"/>
  <c r="C65" i="6"/>
  <c r="D64" i="6"/>
  <c r="F64" i="6" l="1"/>
  <c r="E64" i="6"/>
  <c r="G64" i="6" s="1"/>
  <c r="D65" i="6"/>
  <c r="C66" i="6"/>
  <c r="G63" i="6"/>
  <c r="F65" i="6" l="1"/>
  <c r="E65" i="6"/>
  <c r="G65" i="6" s="1"/>
  <c r="D66" i="6"/>
  <c r="C67" i="6"/>
  <c r="F66" i="6" l="1"/>
  <c r="E66" i="6"/>
  <c r="G66" i="6" s="1"/>
  <c r="C68" i="6"/>
  <c r="D67" i="6"/>
  <c r="E67" i="6" l="1"/>
  <c r="G67" i="6" s="1"/>
  <c r="G69" i="6" s="1"/>
  <c r="F67" i="6"/>
  <c r="F69" i="6" s="1"/>
  <c r="E69" i="6"/>
  <c r="E41" i="4" l="1"/>
  <c r="C23" i="4" l="1"/>
  <c r="C24" i="4" s="1"/>
  <c r="C22" i="4"/>
  <c r="B16" i="4"/>
  <c r="B41" i="4"/>
  <c r="E36" i="4"/>
  <c r="H34" i="4"/>
  <c r="E35" i="4" s="1"/>
  <c r="C30" i="4"/>
  <c r="A29" i="4"/>
  <c r="B12" i="4"/>
  <c r="B9" i="3"/>
  <c r="B3" i="3"/>
  <c r="B2" i="3"/>
  <c r="D2" i="2"/>
  <c r="E13" i="2"/>
  <c r="D13" i="2"/>
  <c r="C13" i="2"/>
  <c r="D6" i="2" s="1"/>
  <c r="D5" i="2"/>
  <c r="D9" i="2"/>
  <c r="C12" i="2"/>
  <c r="C11" i="2"/>
  <c r="C10" i="2"/>
  <c r="C9" i="2"/>
  <c r="C8" i="2"/>
  <c r="C7" i="2"/>
  <c r="C6" i="2"/>
  <c r="C5" i="2"/>
  <c r="C4" i="2"/>
  <c r="C3" i="2"/>
  <c r="C2" i="2"/>
  <c r="D12" i="2" l="1"/>
  <c r="D8" i="2"/>
  <c r="D4" i="2"/>
  <c r="D11" i="2"/>
  <c r="D7" i="2"/>
  <c r="D3" i="2"/>
  <c r="D10" i="2"/>
  <c r="E10" i="1"/>
  <c r="E9" i="1"/>
  <c r="E7" i="1"/>
  <c r="E6" i="1"/>
  <c r="E8" i="1"/>
</calcChain>
</file>

<file path=xl/sharedStrings.xml><?xml version="1.0" encoding="utf-8"?>
<sst xmlns="http://schemas.openxmlformats.org/spreadsheetml/2006/main" count="431" uniqueCount="253">
  <si>
    <t>周期</t>
  </si>
  <si>
    <t>需求历史数据</t>
  </si>
  <si>
    <t>计算方式</t>
  </si>
  <si>
    <t>Mean</t>
  </si>
  <si>
    <t>Std.v Population</t>
  </si>
  <si>
    <t>Std.v Sample</t>
  </si>
  <si>
    <t>Variance</t>
  </si>
  <si>
    <t>Variance Population</t>
  </si>
  <si>
    <t>Variance Sample</t>
  </si>
  <si>
    <t>字母缩写</t>
  </si>
  <si>
    <t>μ</t>
  </si>
  <si>
    <t>v</t>
  </si>
  <si>
    <t xml:space="preserve"> =AVERAGE(B2:B28)</t>
  </si>
  <si>
    <t xml:space="preserve"> =STDEV.P(B2:B28)</t>
  </si>
  <si>
    <t xml:space="preserve"> =STDEV.S(B2:B28)</t>
  </si>
  <si>
    <t xml:space="preserve"> =VAR.P(B2:B28)</t>
  </si>
  <si>
    <t xml:space="preserve"> =VAR.S(B2:B28)</t>
  </si>
  <si>
    <t>σ</t>
  </si>
  <si>
    <r>
      <t xml:space="preserve">Variance = </t>
    </r>
    <r>
      <rPr>
        <sz val="14"/>
        <color theme="1"/>
        <rFont val="Calibri"/>
        <family val="2"/>
      </rPr>
      <t>σ^2</t>
    </r>
  </si>
  <si>
    <r>
      <rPr>
        <sz val="14"/>
        <color theme="1"/>
        <rFont val="Calibri"/>
        <family val="2"/>
      </rPr>
      <t>σ = sqrt (V)</t>
    </r>
  </si>
  <si>
    <t>Demand</t>
  </si>
  <si>
    <t xml:space="preserve"> Pro</t>
  </si>
  <si>
    <t>Std. v</t>
  </si>
  <si>
    <t xml:space="preserve"> =SUM(C2:C12)</t>
  </si>
  <si>
    <t xml:space="preserve"> =SUM(D2:D12)</t>
  </si>
  <si>
    <t xml:space="preserve"> =SQRT(D13)</t>
  </si>
  <si>
    <t>z-Value=</t>
  </si>
  <si>
    <t>设定Service Level, 求z-Value?</t>
  </si>
  <si>
    <t>Service Level=</t>
  </si>
  <si>
    <t xml:space="preserve">Service Level= </t>
  </si>
  <si>
    <t>知道z-Value 求 Service Level?</t>
  </si>
  <si>
    <t>c=</t>
  </si>
  <si>
    <t>p=</t>
  </si>
  <si>
    <t>L=</t>
  </si>
  <si>
    <t>r</t>
  </si>
  <si>
    <t>mean</t>
  </si>
  <si>
    <t>std.v</t>
  </si>
  <si>
    <t>annual holding cost rate</t>
  </si>
  <si>
    <t>z*85*sqrt(2+2)=140</t>
  </si>
  <si>
    <t>z=</t>
  </si>
  <si>
    <t>http://www.z-table.com/</t>
  </si>
  <si>
    <t>ss=z*sigma*sqr (r+L)</t>
  </si>
  <si>
    <t>average inventory=</t>
  </si>
  <si>
    <t>holding cost=</t>
  </si>
  <si>
    <t>Fill rate = 1-1/mu*r*sigma*sqr(r+L)*Loss function at z</t>
  </si>
  <si>
    <t>Loss function of z</t>
  </si>
  <si>
    <t>,</t>
  </si>
  <si>
    <t>Q=</t>
  </si>
  <si>
    <t>Find z=</t>
  </si>
  <si>
    <t>Probability=</t>
  </si>
  <si>
    <t>Out of stock probability=</t>
  </si>
  <si>
    <t>base stock=140*5=700</t>
  </si>
  <si>
    <t>demand of mu*(r+L)=140*(2+2)</t>
  </si>
  <si>
    <t>ss=</t>
  </si>
  <si>
    <t xml:space="preserve">ss= base stock - demand of mu*(r+L) </t>
  </si>
  <si>
    <t>ss=700-140*(2+2)=140</t>
  </si>
  <si>
    <t xml:space="preserve"> =140/170</t>
  </si>
  <si>
    <t xml:space="preserve"> =NORM.S.DIST(C23,TRUE)</t>
  </si>
  <si>
    <t xml:space="preserve"> =1-0.79</t>
  </si>
  <si>
    <t>Base stock = mu*(r+L) + z*s*sqr(r+L) =</t>
  </si>
  <si>
    <t>Difference</t>
  </si>
  <si>
    <t>Week</t>
    <phoneticPr fontId="1" type="noConversion"/>
  </si>
  <si>
    <t>Forecast 1</t>
  </si>
  <si>
    <t>Forecast 2</t>
  </si>
  <si>
    <t>Forecast 3</t>
  </si>
  <si>
    <t>MAD</t>
  </si>
  <si>
    <t>Root-Mean-Squared Error (RMSE)</t>
  </si>
  <si>
    <t>a. 4-month moving average</t>
  </si>
  <si>
    <t>Month</t>
  </si>
  <si>
    <t>Contribution</t>
  </si>
  <si>
    <t>A(t)</t>
  </si>
  <si>
    <t>F(t)</t>
  </si>
  <si>
    <t>Error</t>
  </si>
  <si>
    <t>Abs. Error</t>
  </si>
  <si>
    <t>Sq. Error</t>
  </si>
  <si>
    <t>% Error</t>
  </si>
  <si>
    <t>MSE</t>
  </si>
  <si>
    <t>MAPE</t>
  </si>
  <si>
    <t>So, the 13th month, forecasting is 970,354.  The MSE for last five observations is 13,673,006,714</t>
  </si>
  <si>
    <t>b. 5-month moving average</t>
  </si>
  <si>
    <t>7-month moving average</t>
  </si>
  <si>
    <t>c. Using exponential smoothing with a=0.25</t>
  </si>
  <si>
    <t>5-month moving average forecasting is 997,927. The MSE for last five observations is 11,915,331,038.</t>
  </si>
  <si>
    <t>7-month moving average forecasting is 1,037,904. The MSE for last five observations is 15,173,707,596.</t>
  </si>
  <si>
    <t>Error Absolute=MAD</t>
  </si>
  <si>
    <t>Error ^2=MSE</t>
  </si>
  <si>
    <t>Mean-Squared Error(MSE)</t>
  </si>
  <si>
    <t>Mean Absolute Deviation(MAD)</t>
  </si>
  <si>
    <t>Mean Error (ME)</t>
  </si>
  <si>
    <t>New Adjusted Forecast(MAD)</t>
  </si>
  <si>
    <t>New Adjusted Forecast(RMSE)</t>
  </si>
  <si>
    <t>New Adjusted Mean-Squared Error(MSE)</t>
  </si>
  <si>
    <t>F3</t>
  </si>
  <si>
    <t>ABS Error</t>
  </si>
  <si>
    <t>ABS Error^2=MSE</t>
  </si>
  <si>
    <t>Adjusted Forecast example based on F3</t>
  </si>
  <si>
    <t>Local supplier</t>
  </si>
  <si>
    <t xml:space="preserve">Distant supplier </t>
  </si>
  <si>
    <t>Cost per unit, c</t>
  </si>
  <si>
    <t>Lead time, L, week</t>
  </si>
  <si>
    <t>Transportation cost per unit, ct</t>
  </si>
  <si>
    <t>Demand of mu, week</t>
  </si>
  <si>
    <t>Demand of sigma,week</t>
  </si>
  <si>
    <t>Holding cost, h,week</t>
  </si>
  <si>
    <t>Q1</t>
  </si>
  <si>
    <t>TLC(Total Landed Cost)</t>
  </si>
  <si>
    <t xml:space="preserve"> = Purchase c/unit+Transportation c/unit+Holding c/unit</t>
  </si>
  <si>
    <t>TCL=transportation cost+purchase cost+pipeline holding cost (if have duty/tax need to add)</t>
  </si>
  <si>
    <t>pipeline holding cost= L*holding cost</t>
  </si>
  <si>
    <t>r=</t>
  </si>
  <si>
    <t>Q2</t>
  </si>
  <si>
    <t>Base stock for local supplier</t>
  </si>
  <si>
    <t xml:space="preserve"> =mu*(r+L)+z*sigma*sqr(r+L)</t>
  </si>
  <si>
    <t>Base stock for distant supplier</t>
  </si>
  <si>
    <t>Q3</t>
  </si>
  <si>
    <t xml:space="preserve">What is the expected total cost per week for each option? </t>
  </si>
  <si>
    <t>Hits: The expected total cost is the sum of the procurement cost, the transportation cost, the inventory holding cost for the pipeline inventory plus the cycle stock and safety stock.</t>
  </si>
  <si>
    <t>Total cost for local supplier</t>
  </si>
  <si>
    <t>Total cost for distant supplier</t>
  </si>
  <si>
    <t xml:space="preserve">local supplier </t>
  </si>
  <si>
    <t>distant supplier</t>
  </si>
  <si>
    <t>procurement cost=</t>
  </si>
  <si>
    <t>transportation cost=</t>
  </si>
  <si>
    <t>pipeline stock=</t>
  </si>
  <si>
    <t>cycle stock=</t>
  </si>
  <si>
    <t xml:space="preserve"> =mu*r/2</t>
  </si>
  <si>
    <t>safety stock=</t>
  </si>
  <si>
    <t xml:space="preserve"> =z*sigma*sqr(r+L)</t>
  </si>
  <si>
    <t>Expected Total Cost (ETC)=</t>
  </si>
  <si>
    <t xml:space="preserve"> =mu*TLC+h*(cycle stock+SS)</t>
  </si>
  <si>
    <t>Purchasing cost</t>
  </si>
  <si>
    <t>Sales unit/year</t>
  </si>
  <si>
    <t>Fixed ordering cost/order</t>
  </si>
  <si>
    <t>holding cost/unit/yr</t>
  </si>
  <si>
    <t>EOQ</t>
  </si>
  <si>
    <t>annual purchase cost</t>
  </si>
  <si>
    <t>ordering cost</t>
  </si>
  <si>
    <t>average holding cost</t>
  </si>
  <si>
    <t>Q3 (EOQ discounts)</t>
  </si>
  <si>
    <t>When order Q&gt;=2000</t>
  </si>
  <si>
    <t>Annual purchasing cost</t>
  </si>
  <si>
    <t>Annual ordering cost</t>
  </si>
  <si>
    <t>Annual holding cost</t>
  </si>
  <si>
    <t>When Q=2000</t>
  </si>
  <si>
    <t>Q4</t>
  </si>
  <si>
    <t>Total cost=</t>
  </si>
  <si>
    <t>When Q=1000</t>
  </si>
  <si>
    <t>Saving=</t>
  </si>
  <si>
    <t>cost/unit without discount=</t>
  </si>
  <si>
    <t>cost/unit with discount=</t>
  </si>
  <si>
    <t>B</t>
  </si>
  <si>
    <t xml:space="preserve"> in this case, we don't need pipeline stock for calculating totol cost, because it's a sourcing decision, the goods doesn't exist inventory in the process.</t>
  </si>
  <si>
    <t>Q5</t>
  </si>
  <si>
    <t>Q6</t>
  </si>
  <si>
    <t>L,week</t>
  </si>
  <si>
    <t>z</t>
  </si>
  <si>
    <t xml:space="preserve">r </t>
  </si>
  <si>
    <t>Region</t>
  </si>
  <si>
    <t>Mean/week</t>
  </si>
  <si>
    <t>Std.v/week</t>
  </si>
  <si>
    <t>NA</t>
  </si>
  <si>
    <t>EU</t>
  </si>
  <si>
    <t>APAC</t>
  </si>
  <si>
    <t>What's the SS for each region?</t>
  </si>
  <si>
    <t>SS</t>
  </si>
  <si>
    <t>L1</t>
  </si>
  <si>
    <t>N</t>
  </si>
  <si>
    <t>L2</t>
  </si>
  <si>
    <t>Cross-docking: Reduced total amount of safety stock?</t>
  </si>
  <si>
    <t>total ss</t>
  </si>
  <si>
    <t>Reduce total ss</t>
  </si>
  <si>
    <t>How much additional reduction of the safety stocks is now possible?</t>
  </si>
  <si>
    <t>z=2</t>
  </si>
  <si>
    <t>Assume we have 4 stage serial system</t>
  </si>
  <si>
    <t>Tau=replen=SI+L-S</t>
  </si>
  <si>
    <t>Hold stock at last stage</t>
  </si>
  <si>
    <t>hold stock</t>
  </si>
  <si>
    <t>Stage</t>
  </si>
  <si>
    <t>L/T,wk</t>
  </si>
  <si>
    <t>Cost added ($/unit)</t>
  </si>
  <si>
    <t>Cumulative Cost ($/unit)</t>
  </si>
  <si>
    <t>S</t>
  </si>
  <si>
    <t>S 1=</t>
  </si>
  <si>
    <t>S(outbound service)</t>
  </si>
  <si>
    <t>SI/S</t>
  </si>
  <si>
    <t>SI 4=</t>
  </si>
  <si>
    <t>SI (inbound service)</t>
  </si>
  <si>
    <t>Net Replen L/T (Tau)</t>
  </si>
  <si>
    <t>Tau 4= S5+L-S4</t>
  </si>
  <si>
    <t>SS=E(I)</t>
  </si>
  <si>
    <t>Tau 3= S4+L-S3</t>
  </si>
  <si>
    <t>Holding cost 10%</t>
  </si>
  <si>
    <t>Tau 2=S3+L-S2</t>
  </si>
  <si>
    <t>Tau 1=S2+L-S1</t>
  </si>
  <si>
    <t>D(s)= mu*s+z*sigma*sqrt(s)</t>
  </si>
  <si>
    <t>mu</t>
  </si>
  <si>
    <t>sigma</t>
  </si>
  <si>
    <t>E(I)=</t>
  </si>
  <si>
    <t>Annual holding cost for SS (only need calculate stage 1, beacsue we hold inventory only at stage 1)</t>
  </si>
  <si>
    <t>New strategy - hold stock</t>
  </si>
  <si>
    <t>SI</t>
  </si>
  <si>
    <t>When hold stage at all stage, we can assume service time=0, Tau=L+S(outbound service)</t>
  </si>
  <si>
    <t>Holding cost/unit</t>
  </si>
  <si>
    <t>Total annual holding cost</t>
  </si>
  <si>
    <t>Only hold stock at stage 1 and 4</t>
  </si>
  <si>
    <t>Net Replen L/T(Tau)</t>
  </si>
  <si>
    <t>bc stage 4 and stage 1 hold inventory the inbound service time is assumed 0</t>
  </si>
  <si>
    <t>Tau 3=3=SI3+L3+S3=0+5-0=5</t>
  </si>
  <si>
    <t>Tau 2=0=SL2+L-S2=5+3-8=0</t>
  </si>
  <si>
    <t>Tau 1=SI1+L1-S1=8+2-0=10</t>
  </si>
  <si>
    <t>plus/minus</t>
  </si>
  <si>
    <t>Adjusted F3</t>
  </si>
  <si>
    <t>Adjusted F2</t>
  </si>
  <si>
    <t xml:space="preserve"> =IF(J35-K35&gt;0,L35,-L35)</t>
  </si>
  <si>
    <t>For F3, because all the numbers were under estimated, so, should + average error (19)</t>
  </si>
  <si>
    <t>总结：注意mu1,sigma 1, mu 2 sigma 2, mu 3 sigma 3计算及应用</t>
  </si>
  <si>
    <t>注意multiple stage, cumulative cost是依照activity map来看。一定要看顺序+本身stage cost.</t>
  </si>
  <si>
    <t>注意multiple stage, IS （upstream)取最大值，downstream平均等同。</t>
  </si>
  <si>
    <t>Assume demand bound: D(s)=μj *s+z*σj*sqr(s) , j=1,2</t>
  </si>
  <si>
    <t>Stage1</t>
  </si>
  <si>
    <t>mu1=</t>
  </si>
  <si>
    <t>Stage3/4/5</t>
  </si>
  <si>
    <t>mu3=</t>
  </si>
  <si>
    <t>sigma1=</t>
  </si>
  <si>
    <t>sigma3=</t>
  </si>
  <si>
    <t>Stage2</t>
  </si>
  <si>
    <t>mu2=</t>
  </si>
  <si>
    <t>sigma2=</t>
  </si>
  <si>
    <t>Strategy 1</t>
  </si>
  <si>
    <t>What is the value of the entire safety stock in the system if all stages hold a safety stock?                                                         That is,  Sj = 0 for all  j ?</t>
  </si>
  <si>
    <t>Name</t>
  </si>
  <si>
    <t>Part A</t>
  </si>
  <si>
    <t>Part B</t>
  </si>
  <si>
    <t>Assembly</t>
  </si>
  <si>
    <t>N.America DC</t>
  </si>
  <si>
    <t>EU DC</t>
  </si>
  <si>
    <t>Since hold stock on each stage, Service t=0</t>
  </si>
  <si>
    <t>Service time</t>
  </si>
  <si>
    <t xml:space="preserve"> Net Replen time =L-service time</t>
  </si>
  <si>
    <t>Net Replen.time</t>
  </si>
  <si>
    <t>Since this is not a serial system model ,the cumulative cost added needs to look at the activity map</t>
  </si>
  <si>
    <t>Cumulative cost added</t>
  </si>
  <si>
    <t xml:space="preserve">cumulative cost added at stage 1=stage 5+ stage 4 + stage 3 + stage 1                                                      cumulative cost added at stage 2=stage 5+ stage 4 + stage 3 + stage2      </t>
  </si>
  <si>
    <t>Value of each stage of SS</t>
  </si>
  <si>
    <t>Total value of entire of SS</t>
  </si>
  <si>
    <t>Strategy 2</t>
  </si>
  <si>
    <t>What is the value of the entire safety stock in the system if only stages 1, 2, and 3 hold a safety stock? That is, there is no component safety stock, and  S4=L4,S5=L5 .</t>
  </si>
  <si>
    <t>No stock</t>
  </si>
  <si>
    <t>Service time numbers are given</t>
  </si>
  <si>
    <t>Max (a,b) service time (upstream) as IS</t>
  </si>
  <si>
    <t>Tau 3= Max(SI4,SI5)+L3-S3=20+5-0=25</t>
  </si>
  <si>
    <t>Strategy 3</t>
  </si>
  <si>
    <t>Total value of entire 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</si>
</sst>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000"/>
    <numFmt numFmtId="165" formatCode="0.000"/>
    <numFmt numFmtId="166" formatCode="0.0"/>
    <numFmt numFmtId="167" formatCode="_(* #,##0_);_(* \(#,##0\);_(* &quot;-&quot;??_);_(@_)"/>
    <numFmt numFmtId="168" formatCode="0.0%"/>
    <numFmt numFmtId="169" formatCode="&quot;$&quot;#,##0.00"/>
    <numFmt numFmtId="170" formatCode="&quot;$&quot;#,##0"/>
  </numFmts>
  <fonts count="1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3"/>
      <charset val="129"/>
      <scheme val="minor"/>
    </font>
    <font>
      <sz val="11"/>
      <color theme="1"/>
      <name val="Calibri"/>
      <family val="3"/>
      <charset val="129"/>
      <scheme val="minor"/>
    </font>
    <font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5" fontId="0" fillId="2" borderId="0" xfId="0" applyNumberFormat="1" applyFill="1"/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right"/>
    </xf>
    <xf numFmtId="9" fontId="0" fillId="0" borderId="0" xfId="0" applyNumberFormat="1"/>
    <xf numFmtId="0" fontId="1" fillId="0" borderId="0" xfId="0" applyFont="1"/>
    <xf numFmtId="165" fontId="0" fillId="0" borderId="0" xfId="0" applyNumberFormat="1"/>
    <xf numFmtId="10" fontId="0" fillId="0" borderId="0" xfId="0" applyNumberFormat="1"/>
    <xf numFmtId="0" fontId="5" fillId="0" borderId="0" xfId="1"/>
    <xf numFmtId="0" fontId="0" fillId="2" borderId="0" xfId="0" applyFill="1" applyAlignment="1">
      <alignment horizontal="left"/>
    </xf>
    <xf numFmtId="0" fontId="0" fillId="0" borderId="1" xfId="0" applyBorder="1"/>
    <xf numFmtId="0" fontId="0" fillId="4" borderId="1" xfId="0" applyFill="1" applyBorder="1"/>
    <xf numFmtId="9" fontId="0" fillId="4" borderId="1" xfId="0" applyNumberFormat="1" applyFill="1" applyBorder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0" fillId="8" borderId="0" xfId="0" applyFill="1" applyAlignment="1">
      <alignment vertical="center"/>
    </xf>
    <xf numFmtId="166" fontId="0" fillId="8" borderId="0" xfId="0" applyNumberFormat="1" applyFill="1" applyAlignment="1">
      <alignment vertical="center"/>
    </xf>
    <xf numFmtId="2" fontId="0" fillId="8" borderId="0" xfId="0" applyNumberFormat="1" applyFill="1" applyAlignment="1">
      <alignment horizontal="center"/>
    </xf>
    <xf numFmtId="2" fontId="0" fillId="8" borderId="0" xfId="0" applyNumberFormat="1" applyFill="1"/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167" fontId="0" fillId="0" borderId="0" xfId="2" applyNumberFormat="1" applyFont="1" applyBorder="1" applyAlignment="1">
      <alignment horizontal="left"/>
    </xf>
    <xf numFmtId="0" fontId="0" fillId="0" borderId="6" xfId="0" applyBorder="1" applyAlignment="1">
      <alignment horizontal="left"/>
    </xf>
    <xf numFmtId="167" fontId="0" fillId="0" borderId="0" xfId="0" applyNumberFormat="1"/>
    <xf numFmtId="167" fontId="0" fillId="0" borderId="0" xfId="0" applyNumberFormat="1" applyAlignment="1">
      <alignment horizontal="left"/>
    </xf>
    <xf numFmtId="168" fontId="0" fillId="0" borderId="6" xfId="3" applyNumberFormat="1" applyFont="1" applyBorder="1" applyAlignment="1">
      <alignment horizontal="left"/>
    </xf>
    <xf numFmtId="167" fontId="0" fillId="9" borderId="0" xfId="2" applyNumberFormat="1" applyFont="1" applyFill="1" applyBorder="1" applyAlignment="1">
      <alignment horizontal="left"/>
    </xf>
    <xf numFmtId="167" fontId="0" fillId="9" borderId="0" xfId="0" applyNumberFormat="1" applyFill="1" applyAlignment="1">
      <alignment horizontal="left"/>
    </xf>
    <xf numFmtId="168" fontId="0" fillId="9" borderId="6" xfId="3" applyNumberFormat="1" applyFont="1" applyFill="1" applyBorder="1" applyAlignment="1">
      <alignment horizontal="left"/>
    </xf>
    <xf numFmtId="0" fontId="0" fillId="0" borderId="7" xfId="0" applyBorder="1" applyAlignment="1">
      <alignment horizontal="left"/>
    </xf>
    <xf numFmtId="167" fontId="0" fillId="0" borderId="8" xfId="2" applyNumberFormat="1" applyFont="1" applyBorder="1" applyAlignment="1">
      <alignment horizontal="left"/>
    </xf>
    <xf numFmtId="167" fontId="0" fillId="0" borderId="8" xfId="0" applyNumberFormat="1" applyBorder="1"/>
    <xf numFmtId="167" fontId="0" fillId="0" borderId="8" xfId="0" applyNumberFormat="1" applyBorder="1" applyAlignment="1">
      <alignment horizontal="left"/>
    </xf>
    <xf numFmtId="167" fontId="0" fillId="9" borderId="8" xfId="2" applyNumberFormat="1" applyFont="1" applyFill="1" applyBorder="1" applyAlignment="1">
      <alignment horizontal="left"/>
    </xf>
    <xf numFmtId="167" fontId="0" fillId="9" borderId="8" xfId="0" applyNumberFormat="1" applyFill="1" applyBorder="1" applyAlignment="1">
      <alignment horizontal="left"/>
    </xf>
    <xf numFmtId="168" fontId="0" fillId="9" borderId="9" xfId="3" applyNumberFormat="1" applyFont="1" applyFill="1" applyBorder="1" applyAlignment="1">
      <alignment horizontal="left"/>
    </xf>
    <xf numFmtId="167" fontId="0" fillId="2" borderId="0" xfId="0" applyNumberFormat="1" applyFill="1" applyAlignment="1">
      <alignment horizontal="left"/>
    </xf>
    <xf numFmtId="167" fontId="0" fillId="0" borderId="0" xfId="0" applyNumberFormat="1" applyAlignment="1">
      <alignment horizontal="right"/>
    </xf>
    <xf numFmtId="167" fontId="0" fillId="2" borderId="0" xfId="0" applyNumberFormat="1" applyFill="1" applyAlignment="1">
      <alignment horizontal="right"/>
    </xf>
    <xf numFmtId="168" fontId="0" fillId="0" borderId="0" xfId="3" applyNumberFormat="1" applyFont="1" applyAlignment="1">
      <alignment horizontal="right"/>
    </xf>
    <xf numFmtId="0" fontId="9" fillId="0" borderId="0" xfId="0" applyFont="1" applyAlignment="1">
      <alignment horizontal="left"/>
    </xf>
    <xf numFmtId="43" fontId="0" fillId="0" borderId="0" xfId="0" applyNumberFormat="1" applyAlignment="1">
      <alignment horizontal="left"/>
    </xf>
    <xf numFmtId="43" fontId="0" fillId="9" borderId="0" xfId="0" applyNumberFormat="1" applyFill="1" applyAlignment="1">
      <alignment horizontal="left"/>
    </xf>
    <xf numFmtId="43" fontId="0" fillId="9" borderId="8" xfId="0" applyNumberFormat="1" applyFill="1" applyBorder="1" applyAlignment="1">
      <alignment horizontal="left"/>
    </xf>
    <xf numFmtId="167" fontId="0" fillId="10" borderId="0" xfId="0" applyNumberFormat="1" applyFill="1" applyAlignment="1">
      <alignment horizontal="left"/>
    </xf>
    <xf numFmtId="167" fontId="0" fillId="11" borderId="0" xfId="0" applyNumberFormat="1" applyFill="1" applyAlignment="1">
      <alignment horizontal="left"/>
    </xf>
    <xf numFmtId="168" fontId="0" fillId="0" borderId="0" xfId="3" applyNumberFormat="1" applyFont="1" applyAlignment="1">
      <alignment horizontal="left"/>
    </xf>
    <xf numFmtId="168" fontId="0" fillId="0" borderId="0" xfId="0" applyNumberFormat="1" applyAlignment="1">
      <alignment horizontal="left"/>
    </xf>
    <xf numFmtId="167" fontId="0" fillId="0" borderId="0" xfId="2" applyNumberFormat="1" applyFont="1" applyBorder="1"/>
    <xf numFmtId="167" fontId="0" fillId="12" borderId="0" xfId="2" applyNumberFormat="1" applyFont="1" applyFill="1" applyBorder="1" applyAlignment="1">
      <alignment horizontal="left"/>
    </xf>
    <xf numFmtId="167" fontId="0" fillId="12" borderId="0" xfId="2" applyNumberFormat="1" applyFont="1" applyFill="1" applyBorder="1"/>
    <xf numFmtId="167" fontId="0" fillId="12" borderId="8" xfId="2" applyNumberFormat="1" applyFont="1" applyFill="1" applyBorder="1" applyAlignment="1">
      <alignment horizontal="left"/>
    </xf>
    <xf numFmtId="167" fontId="0" fillId="12" borderId="8" xfId="2" applyNumberFormat="1" applyFont="1" applyFill="1" applyBorder="1"/>
    <xf numFmtId="167" fontId="0" fillId="13" borderId="0" xfId="2" applyNumberFormat="1" applyFont="1" applyFill="1"/>
    <xf numFmtId="167" fontId="0" fillId="13" borderId="0" xfId="0" applyNumberFormat="1" applyFill="1" applyAlignment="1">
      <alignment horizontal="left"/>
    </xf>
    <xf numFmtId="0" fontId="10" fillId="0" borderId="0" xfId="0" applyFont="1"/>
    <xf numFmtId="0" fontId="0" fillId="8" borderId="0" xfId="0" applyFill="1" applyAlignment="1">
      <alignment horizontal="center"/>
    </xf>
    <xf numFmtId="169" fontId="0" fillId="10" borderId="0" xfId="0" applyNumberFormat="1" applyFill="1" applyAlignment="1">
      <alignment horizontal="center"/>
    </xf>
    <xf numFmtId="0" fontId="0" fillId="10" borderId="0" xfId="0" applyFill="1" applyAlignment="1">
      <alignment horizontal="center"/>
    </xf>
    <xf numFmtId="169" fontId="0" fillId="2" borderId="0" xfId="0" applyNumberFormat="1" applyFill="1" applyAlignment="1">
      <alignment horizontal="center"/>
    </xf>
    <xf numFmtId="0" fontId="0" fillId="14" borderId="0" xfId="0" applyFill="1" applyAlignment="1">
      <alignment horizontal="right"/>
    </xf>
    <xf numFmtId="0" fontId="0" fillId="14" borderId="0" xfId="0" applyFill="1" applyAlignment="1">
      <alignment horizontal="left"/>
    </xf>
    <xf numFmtId="1" fontId="0" fillId="2" borderId="0" xfId="0" applyNumberFormat="1" applyFill="1"/>
    <xf numFmtId="169" fontId="0" fillId="0" borderId="0" xfId="0" applyNumberFormat="1"/>
    <xf numFmtId="169" fontId="0" fillId="2" borderId="0" xfId="0" applyNumberFormat="1" applyFill="1"/>
    <xf numFmtId="170" fontId="0" fillId="2" borderId="0" xfId="0" applyNumberFormat="1" applyFill="1"/>
    <xf numFmtId="0" fontId="0" fillId="15" borderId="0" xfId="0" applyFill="1"/>
    <xf numFmtId="3" fontId="0" fillId="15" borderId="0" xfId="0" applyNumberFormat="1" applyFill="1"/>
    <xf numFmtId="170" fontId="0" fillId="15" borderId="0" xfId="0" applyNumberFormat="1" applyFill="1"/>
    <xf numFmtId="0" fontId="0" fillId="0" borderId="0" xfId="0" applyFill="1"/>
    <xf numFmtId="170" fontId="0" fillId="0" borderId="0" xfId="0" applyNumberFormat="1"/>
    <xf numFmtId="0" fontId="0" fillId="15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15" borderId="0" xfId="0" applyFill="1" applyAlignment="1">
      <alignment horizontal="left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right"/>
    </xf>
    <xf numFmtId="1" fontId="0" fillId="2" borderId="0" xfId="0" applyNumberFormat="1" applyFill="1" applyAlignment="1">
      <alignment horizontal="right"/>
    </xf>
    <xf numFmtId="0" fontId="0" fillId="16" borderId="0" xfId="0" applyFill="1"/>
    <xf numFmtId="0" fontId="2" fillId="0" borderId="1" xfId="0" applyFont="1" applyBorder="1"/>
    <xf numFmtId="0" fontId="0" fillId="10" borderId="1" xfId="0" applyFill="1" applyBorder="1"/>
    <xf numFmtId="0" fontId="0" fillId="11" borderId="0" xfId="0" applyFill="1"/>
    <xf numFmtId="0" fontId="0" fillId="11" borderId="0" xfId="0" applyFill="1" applyAlignment="1">
      <alignment horizontal="left"/>
    </xf>
    <xf numFmtId="0" fontId="11" fillId="0" borderId="1" xfId="0" applyFont="1" applyBorder="1"/>
    <xf numFmtId="0" fontId="0" fillId="2" borderId="1" xfId="0" applyFill="1" applyBorder="1"/>
    <xf numFmtId="2" fontId="0" fillId="2" borderId="1" xfId="0" applyNumberFormat="1" applyFill="1" applyBorder="1"/>
    <xf numFmtId="170" fontId="0" fillId="2" borderId="1" xfId="0" applyNumberFormat="1" applyFill="1" applyBorder="1"/>
    <xf numFmtId="0" fontId="0" fillId="15" borderId="0" xfId="0" applyFill="1" applyAlignment="1">
      <alignment horizontal="right"/>
    </xf>
    <xf numFmtId="2" fontId="0" fillId="0" borderId="0" xfId="0" applyNumberFormat="1"/>
    <xf numFmtId="170" fontId="0" fillId="0" borderId="1" xfId="0" applyNumberFormat="1" applyBorder="1"/>
    <xf numFmtId="0" fontId="12" fillId="0" borderId="0" xfId="0" applyFont="1"/>
    <xf numFmtId="170" fontId="0" fillId="10" borderId="1" xfId="0" applyNumberFormat="1" applyFill="1" applyBorder="1"/>
    <xf numFmtId="2" fontId="0" fillId="0" borderId="1" xfId="0" applyNumberFormat="1" applyBorder="1"/>
    <xf numFmtId="169" fontId="0" fillId="0" borderId="1" xfId="0" applyNumberFormat="1" applyBorder="1"/>
    <xf numFmtId="0" fontId="11" fillId="0" borderId="0" xfId="0" applyFont="1"/>
    <xf numFmtId="166" fontId="13" fillId="8" borderId="0" xfId="0" applyNumberFormat="1" applyFont="1" applyFill="1" applyAlignment="1">
      <alignment vertical="center"/>
    </xf>
    <xf numFmtId="0" fontId="14" fillId="17" borderId="0" xfId="0" applyFont="1" applyFill="1"/>
    <xf numFmtId="1" fontId="0" fillId="2" borderId="0" xfId="0" applyNumberFormat="1" applyFill="1" applyAlignment="1">
      <alignment horizontal="left"/>
    </xf>
    <xf numFmtId="0" fontId="0" fillId="18" borderId="0" xfId="0" applyFill="1"/>
    <xf numFmtId="0" fontId="0" fillId="16" borderId="0" xfId="0" applyFill="1" applyAlignment="1">
      <alignment horizontal="left"/>
    </xf>
    <xf numFmtId="0" fontId="0" fillId="0" borderId="1" xfId="0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/>
    <xf numFmtId="166" fontId="0" fillId="2" borderId="1" xfId="0" applyNumberFormat="1" applyFill="1" applyBorder="1"/>
    <xf numFmtId="0" fontId="0" fillId="16" borderId="0" xfId="0" applyFill="1" applyAlignment="1">
      <alignment horizontal="center"/>
    </xf>
    <xf numFmtId="0" fontId="0" fillId="15" borderId="1" xfId="0" applyFill="1" applyBorder="1" applyAlignment="1">
      <alignment horizontal="center"/>
    </xf>
    <xf numFmtId="0" fontId="1" fillId="0" borderId="0" xfId="0" applyFont="1" applyAlignment="1">
      <alignment horizontal="right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wrapText="1"/>
    </xf>
    <xf numFmtId="1" fontId="0" fillId="2" borderId="1" xfId="0" applyNumberFormat="1" applyFill="1" applyBorder="1"/>
    <xf numFmtId="0" fontId="0" fillId="0" borderId="0" xfId="0" applyAlignment="1">
      <alignment horizontal="left" wrapText="1"/>
    </xf>
    <xf numFmtId="0" fontId="0" fillId="0" borderId="10" xfId="0" applyBorder="1" applyAlignment="1">
      <alignment horizontal="left" wrapText="1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155273</xdr:rowOff>
    </xdr:from>
    <xdr:to>
      <xdr:col>6</xdr:col>
      <xdr:colOff>457737</xdr:colOff>
      <xdr:row>21</xdr:row>
      <xdr:rowOff>75479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524CFA-78C2-4871-A87C-360ADB527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91439"/>
          <a:ext cx="5573201" cy="11882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6350</xdr:colOff>
      <xdr:row>1</xdr:row>
      <xdr:rowOff>71367</xdr:rowOff>
    </xdr:from>
    <xdr:to>
      <xdr:col>12</xdr:col>
      <xdr:colOff>477943</xdr:colOff>
      <xdr:row>13</xdr:row>
      <xdr:rowOff>161430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CE97E2-1FC6-4921-9079-4368E1DCE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30508" y="261148"/>
          <a:ext cx="3697874" cy="2263919"/>
        </a:xfrm>
        <a:prstGeom prst="rect">
          <a:avLst/>
        </a:prstGeom>
      </xdr:spPr>
    </xdr:pic>
    <xdr:clientData/>
  </xdr:twoCellAnchor>
  <xdr:twoCellAnchor editAs="oneCell">
    <xdr:from>
      <xdr:col>1</xdr:col>
      <xdr:colOff>755</xdr:colOff>
      <xdr:row>35</xdr:row>
      <xdr:rowOff>80505</xdr:rowOff>
    </xdr:from>
    <xdr:to>
      <xdr:col>4</xdr:col>
      <xdr:colOff>471457</xdr:colOff>
      <xdr:row>47</xdr:row>
      <xdr:rowOff>39320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B790C9-8205-44C6-B569-F85D6613D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4604" y="6550316"/>
          <a:ext cx="3440653" cy="2177037"/>
        </a:xfrm>
        <a:prstGeom prst="rect">
          <a:avLst/>
        </a:prstGeom>
      </xdr:spPr>
    </xdr:pic>
    <xdr:clientData/>
  </xdr:twoCellAnchor>
  <xdr:twoCellAnchor editAs="oneCell">
    <xdr:from>
      <xdr:col>9</xdr:col>
      <xdr:colOff>502027</xdr:colOff>
      <xdr:row>35</xdr:row>
      <xdr:rowOff>27157</xdr:rowOff>
    </xdr:from>
    <xdr:to>
      <xdr:col>13</xdr:col>
      <xdr:colOff>477101</xdr:colOff>
      <xdr:row>46</xdr:row>
      <xdr:rowOff>139384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48A4515-F818-4F1E-AAC6-E19C8770A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31267" y="6496968"/>
          <a:ext cx="3302405" cy="2145596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54</xdr:row>
      <xdr:rowOff>24649</xdr:rowOff>
    </xdr:from>
    <xdr:to>
      <xdr:col>12</xdr:col>
      <xdr:colOff>141174</xdr:colOff>
      <xdr:row>66</xdr:row>
      <xdr:rowOff>183673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AD8AD9D-96E8-4CA0-926D-5BCAB2070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333583" y="10006643"/>
          <a:ext cx="3849402" cy="23772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24633</xdr:colOff>
      <xdr:row>15</xdr:row>
      <xdr:rowOff>60385</xdr:rowOff>
    </xdr:from>
    <xdr:to>
      <xdr:col>5</xdr:col>
      <xdr:colOff>268613</xdr:colOff>
      <xdr:row>19</xdr:row>
      <xdr:rowOff>151501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54F5C5-B4F2-4408-B0E9-BD8A513CC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33" y="2777706"/>
          <a:ext cx="5739006" cy="81573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28</xdr:row>
      <xdr:rowOff>150008</xdr:rowOff>
    </xdr:from>
    <xdr:to>
      <xdr:col>6</xdr:col>
      <xdr:colOff>198409</xdr:colOff>
      <xdr:row>36</xdr:row>
      <xdr:rowOff>167895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17DD64-7F3E-4011-AAC8-9760F0B9D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5222340"/>
          <a:ext cx="6314536" cy="1467125"/>
        </a:xfrm>
        <a:prstGeom prst="rect">
          <a:avLst/>
        </a:prstGeom>
      </xdr:spPr>
    </xdr:pic>
    <xdr:clientData/>
  </xdr:twoCellAnchor>
  <xdr:twoCellAnchor editAs="oneCell">
    <xdr:from>
      <xdr:col>3</xdr:col>
      <xdr:colOff>86264</xdr:colOff>
      <xdr:row>6</xdr:row>
      <xdr:rowOff>172530</xdr:rowOff>
    </xdr:from>
    <xdr:to>
      <xdr:col>7</xdr:col>
      <xdr:colOff>147671</xdr:colOff>
      <xdr:row>8</xdr:row>
      <xdr:rowOff>148548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AC0F282-3156-4322-8B9C-B4D05DA29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76445" y="1259458"/>
          <a:ext cx="2778728" cy="3383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607444</xdr:colOff>
      <xdr:row>31</xdr:row>
      <xdr:rowOff>158822</xdr:rowOff>
    </xdr:from>
    <xdr:to>
      <xdr:col>7</xdr:col>
      <xdr:colOff>250167</xdr:colOff>
      <xdr:row>42</xdr:row>
      <xdr:rowOff>71782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337188-2AEB-4516-8407-FB958A295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444" y="5774618"/>
          <a:ext cx="6561108" cy="19056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366624</xdr:colOff>
      <xdr:row>3</xdr:row>
      <xdr:rowOff>144475</xdr:rowOff>
    </xdr:from>
    <xdr:to>
      <xdr:col>6</xdr:col>
      <xdr:colOff>355842</xdr:colOff>
      <xdr:row>9</xdr:row>
      <xdr:rowOff>172885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97041B-7670-4ACE-98B7-ACCC83B7E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624" y="687939"/>
          <a:ext cx="5441112" cy="11153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601979</xdr:colOff>
      <xdr:row>0</xdr:row>
      <xdr:rowOff>159623</xdr:rowOff>
    </xdr:from>
    <xdr:to>
      <xdr:col>2</xdr:col>
      <xdr:colOff>603850</xdr:colOff>
      <xdr:row>12</xdr:row>
      <xdr:rowOff>5895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FEF30D-04B1-4DB2-BE76-1DEBD6D15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79" y="159623"/>
          <a:ext cx="4401343" cy="2020129"/>
        </a:xfrm>
        <a:prstGeom prst="rect">
          <a:avLst/>
        </a:prstGeom>
      </xdr:spPr>
    </xdr:pic>
    <xdr:clientData/>
  </xdr:twoCellAnchor>
  <xdr:twoCellAnchor editAs="oneCell">
    <xdr:from>
      <xdr:col>7</xdr:col>
      <xdr:colOff>181047</xdr:colOff>
      <xdr:row>37</xdr:row>
      <xdr:rowOff>64698</xdr:rowOff>
    </xdr:from>
    <xdr:to>
      <xdr:col>18</xdr:col>
      <xdr:colOff>12402</xdr:colOff>
      <xdr:row>68</xdr:row>
      <xdr:rowOff>28224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2C5389-F966-416D-815C-FB6B781F37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8324"/>
        <a:stretch/>
      </xdr:blipFill>
      <xdr:spPr>
        <a:xfrm>
          <a:off x="8171265" y="7106009"/>
          <a:ext cx="6710920" cy="5818705"/>
        </a:xfrm>
        <a:prstGeom prst="rect">
          <a:avLst/>
        </a:prstGeom>
      </xdr:spPr>
    </xdr:pic>
    <xdr:clientData/>
  </xdr:twoCellAnchor>
  <xdr:twoCellAnchor editAs="oneCell">
    <xdr:from>
      <xdr:col>1</xdr:col>
      <xdr:colOff>113401</xdr:colOff>
      <xdr:row>66</xdr:row>
      <xdr:rowOff>80023</xdr:rowOff>
    </xdr:from>
    <xdr:to>
      <xdr:col>6</xdr:col>
      <xdr:colOff>603848</xdr:colOff>
      <xdr:row>72</xdr:row>
      <xdr:rowOff>165397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F6F8CB9-5636-482E-A108-543798239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13469" y="12467555"/>
          <a:ext cx="5140085" cy="1172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z-table.com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88698-4BAA-40BC-AE8F-A7446AB5B4D2}">
  <dimension ref="A1:G28"/>
  <sheetViews>
    <sheetView zoomScale="67" zoomScaleNormal="67" workbookViewId="0">
      <selection activeCell="J22" sqref="J22"/>
    </sheetView>
  </sheetViews>
  <sheetFormatPr defaultRowHeight="14.3"/>
  <cols>
    <col min="2" max="2" width="13.5" bestFit="1" customWidth="1"/>
    <col min="4" max="4" width="20.125" customWidth="1"/>
    <col min="6" max="6" width="20.75" customWidth="1"/>
    <col min="7" max="7" width="10.25" customWidth="1"/>
  </cols>
  <sheetData>
    <row r="1" spans="1:7">
      <c r="A1" s="1" t="s">
        <v>0</v>
      </c>
      <c r="B1" s="1" t="s">
        <v>1</v>
      </c>
    </row>
    <row r="2" spans="1:7">
      <c r="A2" s="1">
        <v>0</v>
      </c>
      <c r="B2" s="1">
        <v>120</v>
      </c>
    </row>
    <row r="3" spans="1:7">
      <c r="A3" s="1">
        <v>1</v>
      </c>
      <c r="B3" s="1">
        <v>81</v>
      </c>
    </row>
    <row r="4" spans="1:7">
      <c r="A4" s="1">
        <v>2</v>
      </c>
      <c r="B4" s="1">
        <v>96</v>
      </c>
    </row>
    <row r="5" spans="1:7">
      <c r="A5" s="1">
        <v>3</v>
      </c>
      <c r="B5" s="1">
        <v>102</v>
      </c>
      <c r="D5" t="s">
        <v>2</v>
      </c>
      <c r="G5" t="s">
        <v>9</v>
      </c>
    </row>
    <row r="6" spans="1:7" ht="19.05">
      <c r="A6" s="1">
        <v>4</v>
      </c>
      <c r="B6" s="1">
        <v>78</v>
      </c>
      <c r="D6" t="s">
        <v>3</v>
      </c>
      <c r="E6" s="5">
        <f>AVERAGE(B2:B28)</f>
        <v>90.407407407407405</v>
      </c>
      <c r="F6" t="s">
        <v>12</v>
      </c>
      <c r="G6" s="2" t="s">
        <v>10</v>
      </c>
    </row>
    <row r="7" spans="1:7" ht="19.05">
      <c r="A7" s="1">
        <v>5</v>
      </c>
      <c r="B7" s="1">
        <v>78</v>
      </c>
      <c r="D7" t="s">
        <v>4</v>
      </c>
      <c r="E7" s="5">
        <f>_xlfn.STDEV.P(B2:B28)</f>
        <v>20.476290280439816</v>
      </c>
      <c r="F7" t="s">
        <v>13</v>
      </c>
      <c r="G7" s="2" t="s">
        <v>17</v>
      </c>
    </row>
    <row r="8" spans="1:7" ht="19.05">
      <c r="A8" s="1">
        <v>6</v>
      </c>
      <c r="B8" s="1">
        <v>48</v>
      </c>
      <c r="D8" t="s">
        <v>5</v>
      </c>
      <c r="E8" s="5">
        <f>_xlfn.STDEV.S(B2:B28)</f>
        <v>20.866349906118177</v>
      </c>
      <c r="F8" t="s">
        <v>14</v>
      </c>
      <c r="G8" s="2" t="s">
        <v>17</v>
      </c>
    </row>
    <row r="9" spans="1:7" ht="19.05">
      <c r="A9" s="1">
        <v>7</v>
      </c>
      <c r="B9" s="1">
        <v>83</v>
      </c>
      <c r="D9" t="s">
        <v>7</v>
      </c>
      <c r="E9" s="5">
        <f>_xlfn.VAR.P(B2:B28)</f>
        <v>419.27846364883402</v>
      </c>
      <c r="F9" t="s">
        <v>15</v>
      </c>
      <c r="G9" s="3" t="s">
        <v>11</v>
      </c>
    </row>
    <row r="10" spans="1:7" ht="19.05">
      <c r="A10" s="1">
        <v>8</v>
      </c>
      <c r="B10" s="1">
        <v>86</v>
      </c>
      <c r="D10" t="s">
        <v>8</v>
      </c>
      <c r="E10" s="5">
        <f>_xlfn.VAR.S(B2:B28)</f>
        <v>435.40455840455809</v>
      </c>
      <c r="F10" t="s">
        <v>16</v>
      </c>
      <c r="G10" s="3" t="s">
        <v>11</v>
      </c>
    </row>
    <row r="11" spans="1:7" ht="19.05">
      <c r="A11" s="1">
        <v>9</v>
      </c>
      <c r="B11" s="1">
        <v>114</v>
      </c>
      <c r="D11" s="4" t="s">
        <v>18</v>
      </c>
    </row>
    <row r="12" spans="1:7" ht="19.05">
      <c r="A12" s="1">
        <v>10</v>
      </c>
      <c r="B12" s="1">
        <v>97</v>
      </c>
      <c r="D12" s="4" t="s">
        <v>19</v>
      </c>
      <c r="G12" s="1"/>
    </row>
    <row r="13" spans="1:7">
      <c r="A13" s="1">
        <v>11</v>
      </c>
      <c r="B13" s="1">
        <v>121</v>
      </c>
    </row>
    <row r="14" spans="1:7">
      <c r="A14" s="1">
        <v>12</v>
      </c>
      <c r="B14" s="1">
        <v>123</v>
      </c>
    </row>
    <row r="15" spans="1:7">
      <c r="A15" s="1">
        <v>13</v>
      </c>
      <c r="B15" s="1">
        <v>72</v>
      </c>
    </row>
    <row r="16" spans="1:7">
      <c r="A16" s="1">
        <v>14</v>
      </c>
      <c r="B16" s="1">
        <v>115</v>
      </c>
    </row>
    <row r="17" spans="1:2">
      <c r="A17" s="1">
        <v>15</v>
      </c>
      <c r="B17" s="1">
        <v>85</v>
      </c>
    </row>
    <row r="18" spans="1:2">
      <c r="A18" s="1">
        <v>16</v>
      </c>
      <c r="B18" s="1">
        <v>92</v>
      </c>
    </row>
    <row r="19" spans="1:2">
      <c r="A19" s="1">
        <v>17</v>
      </c>
      <c r="B19" s="1">
        <v>103</v>
      </c>
    </row>
    <row r="20" spans="1:2">
      <c r="A20" s="1">
        <v>18</v>
      </c>
      <c r="B20" s="1">
        <v>62</v>
      </c>
    </row>
    <row r="21" spans="1:2">
      <c r="A21" s="1">
        <v>19</v>
      </c>
      <c r="B21" s="1">
        <v>95</v>
      </c>
    </row>
    <row r="22" spans="1:2">
      <c r="A22" s="1">
        <v>20</v>
      </c>
      <c r="B22" s="1">
        <v>72</v>
      </c>
    </row>
    <row r="23" spans="1:2">
      <c r="A23" s="1">
        <v>21</v>
      </c>
      <c r="B23" s="1">
        <v>74</v>
      </c>
    </row>
    <row r="24" spans="1:2">
      <c r="A24" s="1">
        <v>22</v>
      </c>
      <c r="B24" s="1">
        <v>74</v>
      </c>
    </row>
    <row r="25" spans="1:2">
      <c r="A25" s="1">
        <v>23</v>
      </c>
      <c r="B25" s="1">
        <v>122</v>
      </c>
    </row>
    <row r="26" spans="1:2">
      <c r="A26" s="1">
        <v>24</v>
      </c>
      <c r="B26" s="1">
        <v>88</v>
      </c>
    </row>
    <row r="27" spans="1:2">
      <c r="A27" s="1">
        <v>25</v>
      </c>
      <c r="B27" s="1">
        <v>54</v>
      </c>
    </row>
    <row r="28" spans="1:2">
      <c r="A28" s="1">
        <v>26</v>
      </c>
      <c r="B28" s="1">
        <v>106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DC680-8593-4302-B04C-E21FAA829094}">
  <dimension ref="A3:J64"/>
  <sheetViews>
    <sheetView topLeftCell="A43" zoomScale="80" zoomScaleNormal="80" workbookViewId="0">
      <selection activeCell="O65" sqref="O65"/>
    </sheetView>
  </sheetViews>
  <sheetFormatPr defaultRowHeight="14.3"/>
  <cols>
    <col min="2" max="2" width="28.875" customWidth="1"/>
    <col min="3" max="3" width="10.75" customWidth="1"/>
    <col min="4" max="4" width="10.25" customWidth="1"/>
    <col min="5" max="5" width="10.125" customWidth="1"/>
    <col min="6" max="6" width="10" bestFit="1" customWidth="1"/>
    <col min="7" max="7" width="7" customWidth="1"/>
  </cols>
  <sheetData>
    <row r="3" spans="2:9">
      <c r="B3" t="s">
        <v>173</v>
      </c>
    </row>
    <row r="6" spans="2:9">
      <c r="H6" t="s">
        <v>174</v>
      </c>
    </row>
    <row r="8" spans="2:9">
      <c r="H8" s="111" t="s">
        <v>194</v>
      </c>
      <c r="I8" s="91"/>
    </row>
    <row r="9" spans="2:9">
      <c r="H9" s="111" t="s">
        <v>195</v>
      </c>
      <c r="I9" s="98">
        <v>100</v>
      </c>
    </row>
    <row r="10" spans="2:9">
      <c r="H10" s="111" t="s">
        <v>196</v>
      </c>
      <c r="I10" s="98">
        <v>30</v>
      </c>
    </row>
    <row r="11" spans="2:9">
      <c r="H11" s="111" t="s">
        <v>155</v>
      </c>
      <c r="I11" s="98">
        <v>2</v>
      </c>
    </row>
    <row r="12" spans="2:9">
      <c r="B12" t="s">
        <v>175</v>
      </c>
      <c r="F12" s="102" t="s">
        <v>176</v>
      </c>
    </row>
    <row r="13" spans="2:9">
      <c r="B13" s="103" t="s">
        <v>177</v>
      </c>
      <c r="C13" s="103">
        <v>4</v>
      </c>
      <c r="D13" s="103">
        <v>3</v>
      </c>
      <c r="E13" s="103">
        <v>2</v>
      </c>
      <c r="F13" s="103">
        <v>1</v>
      </c>
    </row>
    <row r="14" spans="2:9">
      <c r="B14" s="19" t="s">
        <v>178</v>
      </c>
      <c r="C14" s="104">
        <v>10</v>
      </c>
      <c r="D14" s="104">
        <v>5</v>
      </c>
      <c r="E14" s="104">
        <v>3</v>
      </c>
      <c r="F14" s="104">
        <v>2</v>
      </c>
    </row>
    <row r="15" spans="2:9">
      <c r="B15" s="19" t="s">
        <v>179</v>
      </c>
      <c r="C15" s="104">
        <v>20</v>
      </c>
      <c r="D15" s="104">
        <v>30</v>
      </c>
      <c r="E15" s="104">
        <v>20</v>
      </c>
      <c r="F15" s="104">
        <v>30</v>
      </c>
    </row>
    <row r="16" spans="2:9">
      <c r="B16" s="19" t="s">
        <v>180</v>
      </c>
      <c r="C16" s="19">
        <f>C15</f>
        <v>20</v>
      </c>
      <c r="D16" s="19">
        <f>C15+D15</f>
        <v>50</v>
      </c>
      <c r="E16" s="19">
        <f>C15+D15+E15</f>
        <v>70</v>
      </c>
      <c r="F16" s="19">
        <f>C15+D15+E15+F15</f>
        <v>100</v>
      </c>
    </row>
    <row r="17" spans="1:10">
      <c r="B17" s="19" t="s">
        <v>181</v>
      </c>
      <c r="C17" s="19"/>
      <c r="D17" s="19"/>
      <c r="E17" s="19"/>
      <c r="F17" s="19">
        <v>0</v>
      </c>
      <c r="H17" s="105" t="s">
        <v>182</v>
      </c>
      <c r="I17" s="106">
        <v>0</v>
      </c>
      <c r="J17" t="s">
        <v>183</v>
      </c>
    </row>
    <row r="18" spans="1:10">
      <c r="B18" s="19" t="s">
        <v>184</v>
      </c>
      <c r="C18" s="19">
        <f>0+C14</f>
        <v>10</v>
      </c>
      <c r="D18" s="19">
        <f>C18+D14</f>
        <v>15</v>
      </c>
      <c r="E18" s="19">
        <f>D18+E14</f>
        <v>18</v>
      </c>
      <c r="F18" s="19">
        <f>0</f>
        <v>0</v>
      </c>
      <c r="H18" s="105" t="s">
        <v>185</v>
      </c>
      <c r="I18" s="106">
        <v>0</v>
      </c>
      <c r="J18" t="s">
        <v>186</v>
      </c>
    </row>
    <row r="19" spans="1:10">
      <c r="B19" s="107" t="s">
        <v>187</v>
      </c>
      <c r="C19" s="108">
        <f>0+C14-C18</f>
        <v>0</v>
      </c>
      <c r="D19" s="108">
        <f>C18+D14-D18</f>
        <v>0</v>
      </c>
      <c r="E19" s="108">
        <f>D18+E14-E18</f>
        <v>0</v>
      </c>
      <c r="F19" s="108">
        <f>E18+F14-F18</f>
        <v>20</v>
      </c>
      <c r="H19" s="14" t="s">
        <v>188</v>
      </c>
      <c r="I19" s="14"/>
    </row>
    <row r="20" spans="1:10">
      <c r="B20" s="19" t="s">
        <v>189</v>
      </c>
      <c r="C20" s="108">
        <f>$I$11*$I$10*SQRT(C19)</f>
        <v>0</v>
      </c>
      <c r="D20" s="108">
        <f>$I$11*$I$10*SQRT(D19)</f>
        <v>0</v>
      </c>
      <c r="E20" s="108">
        <f>$I$11*$I$10*SQRT(E19)</f>
        <v>0</v>
      </c>
      <c r="F20" s="109">
        <f>$I$11*$I$10*SQRT(F19)</f>
        <v>268.32815729997481</v>
      </c>
      <c r="H20" s="14" t="s">
        <v>190</v>
      </c>
      <c r="I20" s="14"/>
    </row>
    <row r="21" spans="1:10">
      <c r="B21" s="19" t="s">
        <v>191</v>
      </c>
      <c r="C21" s="19"/>
      <c r="D21" s="19"/>
      <c r="E21" s="19"/>
      <c r="F21" s="19"/>
      <c r="H21" s="14" t="s">
        <v>192</v>
      </c>
      <c r="I21" s="14"/>
    </row>
    <row r="22" spans="1:10">
      <c r="B22" s="19" t="s">
        <v>142</v>
      </c>
      <c r="C22" s="19"/>
      <c r="D22" s="19"/>
      <c r="E22" s="19"/>
      <c r="F22" s="110">
        <f>F20*F16*10%</f>
        <v>2683.2815729997483</v>
      </c>
      <c r="H22" s="14" t="s">
        <v>193</v>
      </c>
      <c r="I22" s="14"/>
    </row>
    <row r="25" spans="1:10">
      <c r="A25" t="s">
        <v>104</v>
      </c>
      <c r="B25" s="12" t="s">
        <v>197</v>
      </c>
      <c r="C25" s="112">
        <f>F20</f>
        <v>268.32815729997481</v>
      </c>
    </row>
    <row r="29" spans="1:10">
      <c r="A29" t="s">
        <v>110</v>
      </c>
      <c r="B29" t="s">
        <v>198</v>
      </c>
    </row>
    <row r="30" spans="1:10">
      <c r="B30" s="95">
        <f>F22</f>
        <v>2683.2815729997483</v>
      </c>
    </row>
    <row r="32" spans="1:10">
      <c r="A32" t="s">
        <v>114</v>
      </c>
      <c r="B32" s="112">
        <f>F40</f>
        <v>84.852813742385706</v>
      </c>
    </row>
    <row r="33" spans="1:8">
      <c r="B33" t="s">
        <v>199</v>
      </c>
      <c r="C33" s="102" t="s">
        <v>176</v>
      </c>
      <c r="D33" s="102" t="s">
        <v>176</v>
      </c>
      <c r="E33" s="102" t="s">
        <v>176</v>
      </c>
      <c r="F33" s="102" t="s">
        <v>176</v>
      </c>
    </row>
    <row r="34" spans="1:8">
      <c r="B34" s="103" t="s">
        <v>177</v>
      </c>
      <c r="C34" s="103">
        <v>4</v>
      </c>
      <c r="D34" s="103">
        <v>3</v>
      </c>
      <c r="E34" s="103">
        <v>2</v>
      </c>
      <c r="F34" s="103">
        <v>1</v>
      </c>
    </row>
    <row r="35" spans="1:8">
      <c r="B35" s="19" t="s">
        <v>178</v>
      </c>
      <c r="C35" s="19">
        <v>10</v>
      </c>
      <c r="D35" s="19">
        <v>5</v>
      </c>
      <c r="E35" s="19">
        <v>3</v>
      </c>
      <c r="F35" s="19">
        <v>2</v>
      </c>
    </row>
    <row r="36" spans="1:8">
      <c r="B36" s="19" t="s">
        <v>179</v>
      </c>
      <c r="C36" s="113">
        <v>20</v>
      </c>
      <c r="D36" s="113">
        <v>30</v>
      </c>
      <c r="E36" s="113">
        <v>20</v>
      </c>
      <c r="F36" s="113">
        <v>30</v>
      </c>
    </row>
    <row r="37" spans="1:8">
      <c r="B37" s="19" t="s">
        <v>180</v>
      </c>
      <c r="C37" s="113">
        <f>C36</f>
        <v>20</v>
      </c>
      <c r="D37" s="113">
        <f>C36+D36</f>
        <v>50</v>
      </c>
      <c r="E37" s="113">
        <f>C36+D36+E36</f>
        <v>70</v>
      </c>
      <c r="F37" s="113">
        <f>C36+D36+E36+F36</f>
        <v>100</v>
      </c>
    </row>
    <row r="38" spans="1:8">
      <c r="B38" s="19" t="s">
        <v>200</v>
      </c>
      <c r="C38" s="19">
        <v>0</v>
      </c>
      <c r="D38" s="19">
        <v>0</v>
      </c>
      <c r="E38" s="19">
        <v>0</v>
      </c>
      <c r="F38" s="19">
        <v>0</v>
      </c>
      <c r="H38" t="s">
        <v>201</v>
      </c>
    </row>
    <row r="39" spans="1:8">
      <c r="B39" s="107" t="s">
        <v>187</v>
      </c>
      <c r="C39" s="108">
        <f>C38+C35</f>
        <v>10</v>
      </c>
      <c r="D39" s="108">
        <f>D38+D35</f>
        <v>5</v>
      </c>
      <c r="E39" s="108">
        <f>E38+E35</f>
        <v>3</v>
      </c>
      <c r="F39" s="108">
        <f>F38+F35</f>
        <v>2</v>
      </c>
    </row>
    <row r="40" spans="1:8">
      <c r="B40" s="19" t="s">
        <v>164</v>
      </c>
      <c r="C40" s="109">
        <f>$I$11*$I$10*SQRT(C39)</f>
        <v>189.73665961010278</v>
      </c>
      <c r="D40" s="109">
        <f>$I$11*$I$10*SQRT(D39)</f>
        <v>134.1640786499874</v>
      </c>
      <c r="E40" s="109">
        <f>$I$11*$I$10*SQRT(E39)</f>
        <v>103.92304845413263</v>
      </c>
      <c r="F40" s="109">
        <f>$I$11*$I$10*SQRT(F39)</f>
        <v>84.852813742385706</v>
      </c>
    </row>
    <row r="41" spans="1:8">
      <c r="B41" s="19" t="s">
        <v>202</v>
      </c>
      <c r="C41" s="113">
        <v>2</v>
      </c>
      <c r="D41" s="113">
        <v>5</v>
      </c>
      <c r="E41" s="113">
        <v>7</v>
      </c>
      <c r="F41" s="113">
        <v>10</v>
      </c>
    </row>
    <row r="42" spans="1:8">
      <c r="B42" s="19" t="s">
        <v>142</v>
      </c>
      <c r="C42" s="110">
        <f>C40*C41</f>
        <v>379.47331922020555</v>
      </c>
      <c r="D42" s="110">
        <f t="shared" ref="D42:F42" si="0">D40*D41</f>
        <v>670.82039324993707</v>
      </c>
      <c r="E42" s="110">
        <f>E40*E41</f>
        <v>727.46133917892837</v>
      </c>
      <c r="F42" s="110">
        <f t="shared" si="0"/>
        <v>848.52813742385706</v>
      </c>
    </row>
    <row r="43" spans="1:8">
      <c r="B43" s="19" t="s">
        <v>203</v>
      </c>
      <c r="C43" s="19"/>
      <c r="D43" s="19"/>
      <c r="E43" s="19"/>
      <c r="F43" s="110">
        <f>SUM(C42:F42)</f>
        <v>2626.2831890729281</v>
      </c>
    </row>
    <row r="46" spans="1:8">
      <c r="A46" t="s">
        <v>144</v>
      </c>
      <c r="B46" s="95">
        <f>F43</f>
        <v>2626.2831890729281</v>
      </c>
    </row>
    <row r="50" spans="1:8">
      <c r="A50" t="s">
        <v>152</v>
      </c>
      <c r="B50" s="114"/>
    </row>
    <row r="51" spans="1:8">
      <c r="B51" t="s">
        <v>204</v>
      </c>
      <c r="C51" s="102" t="s">
        <v>176</v>
      </c>
      <c r="F51" s="102" t="s">
        <v>176</v>
      </c>
    </row>
    <row r="52" spans="1:8">
      <c r="B52" s="103" t="s">
        <v>177</v>
      </c>
      <c r="C52" s="103">
        <v>4</v>
      </c>
      <c r="D52" s="103">
        <v>3</v>
      </c>
      <c r="E52" s="103">
        <v>2</v>
      </c>
      <c r="F52" s="103">
        <v>1</v>
      </c>
    </row>
    <row r="53" spans="1:8">
      <c r="B53" s="19" t="s">
        <v>178</v>
      </c>
      <c r="C53" s="104">
        <v>10</v>
      </c>
      <c r="D53" s="104">
        <v>5</v>
      </c>
      <c r="E53" s="104">
        <v>3</v>
      </c>
      <c r="F53" s="104">
        <v>2</v>
      </c>
    </row>
    <row r="54" spans="1:8">
      <c r="B54" s="19" t="s">
        <v>179</v>
      </c>
      <c r="C54" s="115">
        <v>20</v>
      </c>
      <c r="D54" s="115">
        <v>30</v>
      </c>
      <c r="E54" s="115">
        <v>20</v>
      </c>
      <c r="F54" s="115">
        <v>30</v>
      </c>
    </row>
    <row r="55" spans="1:8">
      <c r="B55" s="19" t="s">
        <v>180</v>
      </c>
      <c r="C55" s="113">
        <f>C54</f>
        <v>20</v>
      </c>
      <c r="D55" s="113">
        <f>C54+D54</f>
        <v>50</v>
      </c>
      <c r="E55" s="113">
        <f>C54+D54+E54</f>
        <v>70</v>
      </c>
      <c r="F55" s="113">
        <f>C54+D54+E54+F54</f>
        <v>100</v>
      </c>
    </row>
    <row r="56" spans="1:8">
      <c r="B56" s="19" t="s">
        <v>200</v>
      </c>
      <c r="C56" s="104">
        <v>0</v>
      </c>
      <c r="D56" s="108">
        <f>C56+D53</f>
        <v>5</v>
      </c>
      <c r="E56" s="108">
        <f>D56+E53</f>
        <v>8</v>
      </c>
      <c r="F56" s="104">
        <v>0</v>
      </c>
    </row>
    <row r="57" spans="1:8">
      <c r="B57" s="107" t="s">
        <v>205</v>
      </c>
      <c r="C57" s="108">
        <f>0+C53-C56</f>
        <v>10</v>
      </c>
      <c r="D57" s="108">
        <f>C56+D53-D56</f>
        <v>0</v>
      </c>
      <c r="E57" s="108">
        <f>D56+E53-E56</f>
        <v>0</v>
      </c>
      <c r="F57" s="108">
        <f>E56+F53-F56</f>
        <v>10</v>
      </c>
      <c r="H57" t="s">
        <v>206</v>
      </c>
    </row>
    <row r="58" spans="1:8">
      <c r="B58" s="19" t="s">
        <v>164</v>
      </c>
      <c r="C58" s="116">
        <f>$I$11*$I$10*SQRT(C57)</f>
        <v>189.73665961010278</v>
      </c>
      <c r="D58" s="116">
        <f>$I$11*$I$10*SQRT(D57)</f>
        <v>0</v>
      </c>
      <c r="E58" s="116">
        <f>$I$11*$I$10*SQRT(E57)</f>
        <v>0</v>
      </c>
      <c r="F58" s="116">
        <f>$I$11*$I$10*SQRT(F57)</f>
        <v>189.73665961010278</v>
      </c>
    </row>
    <row r="59" spans="1:8">
      <c r="B59" s="19" t="s">
        <v>191</v>
      </c>
      <c r="C59" s="117">
        <f>C58*C55*10%</f>
        <v>379.47331922020561</v>
      </c>
      <c r="D59" s="117">
        <f>D58*D55*10%</f>
        <v>0</v>
      </c>
      <c r="E59" s="117">
        <f>E58*E55*10%</f>
        <v>0</v>
      </c>
      <c r="F59" s="117">
        <f>F58*F55*10%</f>
        <v>1897.3665961010277</v>
      </c>
    </row>
    <row r="60" spans="1:8">
      <c r="B60" s="19" t="s">
        <v>142</v>
      </c>
      <c r="C60" s="19"/>
      <c r="D60" s="19"/>
      <c r="E60" s="19"/>
      <c r="F60" s="110">
        <f>SUM(C59:F59)</f>
        <v>2276.8399153212331</v>
      </c>
    </row>
    <row r="62" spans="1:8">
      <c r="E62" s="118" t="s">
        <v>207</v>
      </c>
      <c r="F62" s="118"/>
      <c r="G62" s="118"/>
    </row>
    <row r="63" spans="1:8">
      <c r="E63" s="118" t="s">
        <v>208</v>
      </c>
      <c r="F63" s="118"/>
      <c r="G63" s="118"/>
    </row>
    <row r="64" spans="1:8">
      <c r="E64" s="118" t="s">
        <v>209</v>
      </c>
      <c r="F64" s="118"/>
      <c r="G64" s="118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1E6AD-231A-4803-BDA6-10A7F0593310}">
  <dimension ref="A4:P75"/>
  <sheetViews>
    <sheetView topLeftCell="A50" zoomScale="80" zoomScaleNormal="80" workbookViewId="0">
      <selection activeCell="T48" sqref="T48"/>
    </sheetView>
  </sheetViews>
  <sheetFormatPr defaultRowHeight="14.3"/>
  <cols>
    <col min="1" max="1" width="39.125" customWidth="1"/>
    <col min="2" max="2" width="24.625" customWidth="1"/>
    <col min="5" max="5" width="12" customWidth="1"/>
    <col min="6" max="6" width="12.75" customWidth="1"/>
  </cols>
  <sheetData>
    <row r="4" spans="1:11">
      <c r="E4" t="s">
        <v>215</v>
      </c>
    </row>
    <row r="5" spans="1:11">
      <c r="E5" t="s">
        <v>216</v>
      </c>
    </row>
    <row r="6" spans="1:11">
      <c r="E6" t="s">
        <v>217</v>
      </c>
    </row>
    <row r="12" spans="1:11">
      <c r="G12" s="91" t="s">
        <v>218</v>
      </c>
      <c r="H12" s="91"/>
      <c r="I12" s="91"/>
      <c r="J12" s="91"/>
      <c r="K12" s="91"/>
    </row>
    <row r="13" spans="1:11">
      <c r="F13" t="s">
        <v>219</v>
      </c>
      <c r="G13" s="91" t="s">
        <v>39</v>
      </c>
      <c r="H13" s="98">
        <v>2</v>
      </c>
      <c r="I13" s="91"/>
      <c r="J13" s="91"/>
      <c r="K13" s="91"/>
    </row>
    <row r="14" spans="1:11">
      <c r="G14" s="91" t="s">
        <v>220</v>
      </c>
      <c r="H14" s="98">
        <v>10</v>
      </c>
      <c r="I14" s="91"/>
      <c r="J14" s="91"/>
      <c r="K14" s="91"/>
    </row>
    <row r="15" spans="1:11" ht="14.45" customHeight="1">
      <c r="A15" t="s">
        <v>104</v>
      </c>
      <c r="B15" t="s">
        <v>221</v>
      </c>
      <c r="C15" t="s">
        <v>222</v>
      </c>
      <c r="D15" s="18">
        <f>H14+H17</f>
        <v>30</v>
      </c>
      <c r="G15" s="91" t="s">
        <v>223</v>
      </c>
      <c r="H15" s="98">
        <v>3</v>
      </c>
      <c r="I15" s="91"/>
      <c r="J15" s="91"/>
      <c r="K15" s="91"/>
    </row>
    <row r="16" spans="1:11">
      <c r="C16" t="s">
        <v>224</v>
      </c>
      <c r="D16" s="121">
        <f>SQRT((H15^2)+(H18^2))</f>
        <v>5</v>
      </c>
      <c r="G16" s="91"/>
      <c r="H16" s="98"/>
      <c r="I16" s="91"/>
      <c r="J16" s="91"/>
      <c r="K16" s="91"/>
    </row>
    <row r="17" spans="1:16">
      <c r="C17" t="s">
        <v>39</v>
      </c>
      <c r="D17" s="18">
        <v>2</v>
      </c>
      <c r="F17" t="s">
        <v>225</v>
      </c>
      <c r="G17" s="91" t="s">
        <v>226</v>
      </c>
      <c r="H17" s="98">
        <v>20</v>
      </c>
      <c r="I17" s="91"/>
      <c r="J17" s="91"/>
      <c r="K17" s="91"/>
    </row>
    <row r="18" spans="1:16">
      <c r="G18" s="91" t="s">
        <v>227</v>
      </c>
      <c r="H18" s="98">
        <v>4</v>
      </c>
      <c r="I18" s="91"/>
      <c r="J18" s="98"/>
      <c r="K18" s="91"/>
    </row>
    <row r="19" spans="1:16">
      <c r="B19" s="122" t="s">
        <v>228</v>
      </c>
    </row>
    <row r="20" spans="1:16">
      <c r="A20" t="s">
        <v>110</v>
      </c>
      <c r="B20" s="139" t="s">
        <v>229</v>
      </c>
      <c r="C20" s="139"/>
      <c r="D20" s="139"/>
      <c r="E20" s="139"/>
      <c r="F20" s="139"/>
    </row>
    <row r="21" spans="1:16">
      <c r="C21" s="123" t="s">
        <v>176</v>
      </c>
      <c r="D21" s="123" t="s">
        <v>176</v>
      </c>
      <c r="E21" s="123" t="s">
        <v>176</v>
      </c>
      <c r="F21" s="123" t="s">
        <v>176</v>
      </c>
      <c r="G21" s="123" t="s">
        <v>176</v>
      </c>
    </row>
    <row r="22" spans="1:16">
      <c r="B22" s="19" t="s">
        <v>177</v>
      </c>
      <c r="C22" s="124">
        <v>5</v>
      </c>
      <c r="D22" s="124">
        <v>4</v>
      </c>
      <c r="E22" s="124">
        <v>3</v>
      </c>
      <c r="F22" s="124">
        <v>2</v>
      </c>
      <c r="G22" s="124">
        <v>1</v>
      </c>
      <c r="J22" s="22"/>
    </row>
    <row r="23" spans="1:16">
      <c r="B23" s="19" t="s">
        <v>230</v>
      </c>
      <c r="C23" s="124" t="s">
        <v>231</v>
      </c>
      <c r="D23" s="124" t="s">
        <v>232</v>
      </c>
      <c r="E23" s="124" t="s">
        <v>233</v>
      </c>
      <c r="F23" s="124" t="s">
        <v>234</v>
      </c>
      <c r="G23" s="124" t="s">
        <v>235</v>
      </c>
      <c r="J23" s="22"/>
    </row>
    <row r="24" spans="1:16">
      <c r="B24" s="19" t="s">
        <v>178</v>
      </c>
      <c r="C24" s="125">
        <v>20</v>
      </c>
      <c r="D24" s="125">
        <v>10</v>
      </c>
      <c r="E24" s="125">
        <v>5</v>
      </c>
      <c r="F24" s="125">
        <v>3</v>
      </c>
      <c r="G24" s="125">
        <v>7</v>
      </c>
      <c r="J24" s="22"/>
    </row>
    <row r="25" spans="1:16">
      <c r="B25" s="19" t="s">
        <v>179</v>
      </c>
      <c r="C25" s="125">
        <v>30</v>
      </c>
      <c r="D25" s="125">
        <v>20</v>
      </c>
      <c r="E25" s="125">
        <v>10</v>
      </c>
      <c r="F25" s="125">
        <v>5</v>
      </c>
      <c r="G25" s="125">
        <v>10</v>
      </c>
      <c r="J25" s="22"/>
    </row>
    <row r="26" spans="1:16">
      <c r="A26" s="14" t="s">
        <v>236</v>
      </c>
      <c r="B26" s="19" t="s">
        <v>237</v>
      </c>
      <c r="C26" s="124">
        <v>0</v>
      </c>
      <c r="D26" s="124">
        <v>0</v>
      </c>
      <c r="E26" s="124">
        <v>0</v>
      </c>
      <c r="F26" s="124">
        <v>0</v>
      </c>
      <c r="G26" s="124">
        <v>0</v>
      </c>
      <c r="J26" s="22"/>
    </row>
    <row r="27" spans="1:16">
      <c r="A27" s="14" t="s">
        <v>238</v>
      </c>
      <c r="B27" s="19" t="s">
        <v>239</v>
      </c>
      <c r="C27" s="126">
        <f>C24-C26</f>
        <v>20</v>
      </c>
      <c r="D27" s="126">
        <f>D24-D26</f>
        <v>10</v>
      </c>
      <c r="E27" s="126">
        <f t="shared" ref="E27:G27" si="0">E24-E26</f>
        <v>5</v>
      </c>
      <c r="F27" s="126">
        <f t="shared" si="0"/>
        <v>3</v>
      </c>
      <c r="G27" s="126">
        <f t="shared" si="0"/>
        <v>7</v>
      </c>
    </row>
    <row r="28" spans="1:16">
      <c r="B28" s="19" t="s">
        <v>164</v>
      </c>
      <c r="C28" s="127">
        <f>$D$17*$D$16*SQRT(C27)</f>
        <v>44.721359549995796</v>
      </c>
      <c r="D28" s="127">
        <f>$D$17*$D$16*SQRT(D27)</f>
        <v>31.622776601683796</v>
      </c>
      <c r="E28" s="127">
        <f>$D$17*$D$16*SQRT(E27)</f>
        <v>22.360679774997898</v>
      </c>
      <c r="F28" s="127">
        <f>H13*H18*SQRT(F27)</f>
        <v>13.856406460551018</v>
      </c>
      <c r="G28" s="127">
        <f>H13*H15*SQRT(G27)</f>
        <v>15.874507866387544</v>
      </c>
      <c r="H28" t="s">
        <v>240</v>
      </c>
    </row>
    <row r="29" spans="1:16" ht="31.75" customHeight="1">
      <c r="B29" s="19" t="s">
        <v>241</v>
      </c>
      <c r="C29" s="128">
        <v>30</v>
      </c>
      <c r="D29" s="128">
        <v>20</v>
      </c>
      <c r="E29" s="128">
        <f>C25+D25+E25</f>
        <v>60</v>
      </c>
      <c r="F29" s="128">
        <f>C25+D25+(E25)+F25</f>
        <v>65</v>
      </c>
      <c r="G29" s="128">
        <f>C25+D25+E25+G25</f>
        <v>70</v>
      </c>
      <c r="H29" s="140" t="s">
        <v>242</v>
      </c>
      <c r="I29" s="139"/>
      <c r="J29" s="139"/>
      <c r="K29" s="139"/>
      <c r="L29" s="139"/>
      <c r="M29" s="139"/>
      <c r="N29" s="139"/>
      <c r="O29" s="139"/>
      <c r="P29" s="139"/>
    </row>
    <row r="30" spans="1:16" ht="18" customHeight="1">
      <c r="B30" s="129" t="s">
        <v>243</v>
      </c>
      <c r="C30" s="130">
        <f>C28*C29</f>
        <v>1341.6407864998739</v>
      </c>
      <c r="D30" s="130">
        <f>D28*D29</f>
        <v>632.45553203367592</v>
      </c>
      <c r="E30" s="130">
        <f>E28*E29</f>
        <v>1341.6407864998739</v>
      </c>
      <c r="F30" s="130">
        <f>F28*F29</f>
        <v>900.66641993581618</v>
      </c>
      <c r="G30" s="130">
        <f>G28*G29</f>
        <v>1111.2155506471281</v>
      </c>
    </row>
    <row r="31" spans="1:16">
      <c r="B31" s="19" t="s">
        <v>244</v>
      </c>
      <c r="C31" s="131"/>
      <c r="D31" s="131"/>
      <c r="E31" s="131"/>
      <c r="F31" s="131"/>
      <c r="G31" s="132">
        <f>SUM(C30:G30)</f>
        <v>5327.6190756163687</v>
      </c>
    </row>
    <row r="35" spans="1:7">
      <c r="A35" t="s">
        <v>114</v>
      </c>
      <c r="B35" s="122" t="s">
        <v>245</v>
      </c>
    </row>
    <row r="36" spans="1:7">
      <c r="B36" t="s">
        <v>246</v>
      </c>
    </row>
    <row r="38" spans="1:7">
      <c r="C38" s="1" t="s">
        <v>247</v>
      </c>
      <c r="D38" s="1" t="s">
        <v>247</v>
      </c>
      <c r="E38" s="133" t="s">
        <v>176</v>
      </c>
      <c r="F38" s="133" t="s">
        <v>176</v>
      </c>
      <c r="G38" s="133" t="s">
        <v>176</v>
      </c>
    </row>
    <row r="39" spans="1:7">
      <c r="B39" s="19" t="s">
        <v>177</v>
      </c>
      <c r="C39" s="124">
        <v>5</v>
      </c>
      <c r="D39" s="124">
        <v>4</v>
      </c>
      <c r="E39" s="124">
        <v>3</v>
      </c>
      <c r="F39" s="124">
        <v>2</v>
      </c>
      <c r="G39" s="124">
        <v>1</v>
      </c>
    </row>
    <row r="40" spans="1:7">
      <c r="B40" s="19" t="s">
        <v>230</v>
      </c>
      <c r="C40" s="124" t="s">
        <v>231</v>
      </c>
      <c r="D40" s="124" t="s">
        <v>232</v>
      </c>
      <c r="E40" s="124" t="s">
        <v>233</v>
      </c>
      <c r="F40" s="124" t="s">
        <v>234</v>
      </c>
      <c r="G40" s="124" t="s">
        <v>235</v>
      </c>
    </row>
    <row r="41" spans="1:7">
      <c r="B41" s="19" t="s">
        <v>178</v>
      </c>
      <c r="C41" s="134">
        <v>20</v>
      </c>
      <c r="D41" s="134">
        <v>10</v>
      </c>
      <c r="E41" s="134">
        <v>5</v>
      </c>
      <c r="F41" s="134">
        <v>3</v>
      </c>
      <c r="G41" s="134">
        <v>7</v>
      </c>
    </row>
    <row r="42" spans="1:7">
      <c r="B42" s="19" t="s">
        <v>179</v>
      </c>
      <c r="C42" s="134">
        <v>30</v>
      </c>
      <c r="D42" s="134">
        <v>20</v>
      </c>
      <c r="E42" s="134">
        <v>10</v>
      </c>
      <c r="F42" s="134">
        <v>5</v>
      </c>
      <c r="G42" s="134">
        <v>10</v>
      </c>
    </row>
    <row r="43" spans="1:7">
      <c r="A43" s="135" t="s">
        <v>248</v>
      </c>
      <c r="B43" s="19" t="s">
        <v>237</v>
      </c>
      <c r="C43" s="134">
        <v>20</v>
      </c>
      <c r="D43" s="134">
        <v>10</v>
      </c>
      <c r="E43" s="134">
        <v>0</v>
      </c>
      <c r="F43" s="134">
        <v>0</v>
      </c>
      <c r="G43" s="134">
        <v>0</v>
      </c>
    </row>
    <row r="44" spans="1:7">
      <c r="A44" s="14" t="s">
        <v>249</v>
      </c>
      <c r="B44" s="19" t="s">
        <v>239</v>
      </c>
      <c r="C44" s="126">
        <v>0</v>
      </c>
      <c r="D44" s="126">
        <v>0</v>
      </c>
      <c r="E44" s="126">
        <f>C43+E41-F43</f>
        <v>25</v>
      </c>
      <c r="F44" s="126">
        <f>F41-F43</f>
        <v>3</v>
      </c>
      <c r="G44" s="126">
        <f>G41-G43</f>
        <v>7</v>
      </c>
    </row>
    <row r="45" spans="1:7">
      <c r="A45" s="14" t="s">
        <v>250</v>
      </c>
      <c r="B45" s="19" t="s">
        <v>164</v>
      </c>
      <c r="C45" s="136">
        <f>D17*$D$16*SQRT(C44)</f>
        <v>0</v>
      </c>
      <c r="D45" s="136">
        <f>D17*$D$16*SQRT(D44)</f>
        <v>0</v>
      </c>
      <c r="E45" s="136">
        <f>D17*$D$16*SQRT(E44)</f>
        <v>50</v>
      </c>
      <c r="F45" s="136">
        <f>H13*H18*SQRT(F44)</f>
        <v>13.856406460551018</v>
      </c>
      <c r="G45" s="136">
        <f>H13*H15*SQRT(G44)</f>
        <v>15.874507866387544</v>
      </c>
    </row>
    <row r="46" spans="1:7">
      <c r="B46" s="19" t="s">
        <v>241</v>
      </c>
      <c r="C46" s="130">
        <v>30</v>
      </c>
      <c r="D46" s="130">
        <v>20</v>
      </c>
      <c r="E46" s="130">
        <f>C42+D42+E42</f>
        <v>60</v>
      </c>
      <c r="F46" s="130">
        <f>C42+D42+(E42)+F42</f>
        <v>65</v>
      </c>
      <c r="G46" s="130">
        <f>C42+D42+(E42)+G42</f>
        <v>70</v>
      </c>
    </row>
    <row r="47" spans="1:7" ht="28.2" customHeight="1">
      <c r="B47" s="137" t="s">
        <v>243</v>
      </c>
      <c r="C47" s="131">
        <f>C46*C45</f>
        <v>0</v>
      </c>
      <c r="D47" s="131">
        <f t="shared" ref="D47:G47" si="1">D46*D45</f>
        <v>0</v>
      </c>
      <c r="E47" s="131">
        <f t="shared" si="1"/>
        <v>3000</v>
      </c>
      <c r="F47" s="131">
        <f t="shared" si="1"/>
        <v>900.66641993581618</v>
      </c>
      <c r="G47" s="131">
        <f t="shared" si="1"/>
        <v>1111.2155506471281</v>
      </c>
    </row>
    <row r="48" spans="1:7">
      <c r="B48" s="19" t="s">
        <v>244</v>
      </c>
      <c r="C48" s="19"/>
      <c r="D48" s="19"/>
      <c r="E48" s="19"/>
      <c r="F48" s="19"/>
      <c r="G48" s="138">
        <f>SUM(C47:G47)</f>
        <v>5011.8819705829446</v>
      </c>
    </row>
    <row r="53" spans="1:7">
      <c r="A53" t="s">
        <v>144</v>
      </c>
      <c r="B53" s="122" t="s">
        <v>251</v>
      </c>
    </row>
    <row r="55" spans="1:7">
      <c r="C55" s="133" t="s">
        <v>176</v>
      </c>
      <c r="D55" s="133" t="s">
        <v>176</v>
      </c>
      <c r="E55" s="1" t="s">
        <v>247</v>
      </c>
      <c r="F55" s="133" t="s">
        <v>176</v>
      </c>
      <c r="G55" s="133" t="s">
        <v>176</v>
      </c>
    </row>
    <row r="56" spans="1:7">
      <c r="B56" s="19" t="s">
        <v>177</v>
      </c>
      <c r="C56" s="124">
        <v>5</v>
      </c>
      <c r="D56" s="124">
        <v>4</v>
      </c>
      <c r="E56" s="124">
        <v>3</v>
      </c>
      <c r="F56" s="124">
        <v>2</v>
      </c>
      <c r="G56" s="124">
        <v>1</v>
      </c>
    </row>
    <row r="57" spans="1:7">
      <c r="B57" s="19" t="s">
        <v>230</v>
      </c>
      <c r="C57" s="124" t="s">
        <v>231</v>
      </c>
      <c r="D57" s="124" t="s">
        <v>232</v>
      </c>
      <c r="E57" s="124" t="s">
        <v>233</v>
      </c>
      <c r="F57" s="124" t="s">
        <v>234</v>
      </c>
      <c r="G57" s="124" t="s">
        <v>235</v>
      </c>
    </row>
    <row r="58" spans="1:7">
      <c r="B58" s="19" t="s">
        <v>178</v>
      </c>
      <c r="C58" s="125">
        <v>20</v>
      </c>
      <c r="D58" s="125">
        <v>10</v>
      </c>
      <c r="E58" s="125">
        <v>5</v>
      </c>
      <c r="F58" s="125">
        <v>3</v>
      </c>
      <c r="G58" s="125">
        <v>7</v>
      </c>
    </row>
    <row r="59" spans="1:7">
      <c r="B59" s="19" t="s">
        <v>179</v>
      </c>
      <c r="C59" s="125">
        <v>30</v>
      </c>
      <c r="D59" s="125">
        <v>20</v>
      </c>
      <c r="E59" s="125">
        <v>10</v>
      </c>
      <c r="F59" s="125">
        <v>5</v>
      </c>
      <c r="G59" s="125">
        <v>10</v>
      </c>
    </row>
    <row r="60" spans="1:7">
      <c r="B60" s="19" t="s">
        <v>237</v>
      </c>
      <c r="C60" s="124">
        <v>0</v>
      </c>
      <c r="D60" s="124">
        <v>0</v>
      </c>
      <c r="E60" s="124">
        <v>5</v>
      </c>
      <c r="F60" s="124">
        <v>0</v>
      </c>
      <c r="G60" s="124">
        <v>0</v>
      </c>
    </row>
    <row r="61" spans="1:7">
      <c r="B61" s="19" t="s">
        <v>239</v>
      </c>
      <c r="C61" s="126">
        <f>0+C58-C60</f>
        <v>20</v>
      </c>
      <c r="D61" s="126">
        <f>C60+D58-D60</f>
        <v>10</v>
      </c>
      <c r="E61" s="126">
        <f>D60+E58-E60</f>
        <v>0</v>
      </c>
      <c r="F61" s="126">
        <f>E60+F58-G60</f>
        <v>8</v>
      </c>
      <c r="G61" s="126">
        <f>E60+G58-0</f>
        <v>12</v>
      </c>
    </row>
    <row r="62" spans="1:7">
      <c r="B62" s="19" t="s">
        <v>164</v>
      </c>
      <c r="C62" s="136">
        <f>2*$D$16*SQRT(C61)</f>
        <v>44.721359549995796</v>
      </c>
      <c r="D62" s="136">
        <f>2*$D$16*SQRT(D61)</f>
        <v>31.622776601683796</v>
      </c>
      <c r="E62" s="136">
        <f t="shared" ref="E62" si="2">2*$D$16*SQRT(E61)</f>
        <v>0</v>
      </c>
      <c r="F62" s="136">
        <f>2*H18*SQRT(F61)</f>
        <v>22.627416997969522</v>
      </c>
      <c r="G62" s="136">
        <f>2*H15*SQRT(G61)</f>
        <v>20.784609690826528</v>
      </c>
    </row>
    <row r="63" spans="1:7">
      <c r="B63" s="19" t="s">
        <v>241</v>
      </c>
      <c r="C63" s="130">
        <v>30</v>
      </c>
      <c r="D63" s="130">
        <v>20</v>
      </c>
      <c r="E63" s="130">
        <f>C59+D59+E59</f>
        <v>60</v>
      </c>
      <c r="F63" s="130">
        <f>C59+D59+(E59)+F59</f>
        <v>65</v>
      </c>
      <c r="G63" s="130">
        <f>C59+D59+(E59)+G59</f>
        <v>70</v>
      </c>
    </row>
    <row r="64" spans="1:7">
      <c r="B64" s="137" t="s">
        <v>243</v>
      </c>
      <c r="C64" s="19">
        <f>C63*C62</f>
        <v>1341.6407864998739</v>
      </c>
      <c r="D64" s="19">
        <f t="shared" ref="D64:G64" si="3">D63*D62</f>
        <v>632.45553203367592</v>
      </c>
      <c r="E64" s="19">
        <f t="shared" si="3"/>
        <v>0</v>
      </c>
      <c r="F64" s="19">
        <f t="shared" si="3"/>
        <v>1470.7821048680189</v>
      </c>
      <c r="G64" s="19">
        <f t="shared" si="3"/>
        <v>1454.922678357857</v>
      </c>
    </row>
    <row r="65" spans="1:7">
      <c r="B65" s="19" t="s">
        <v>252</v>
      </c>
      <c r="C65" s="19"/>
      <c r="D65" s="19"/>
      <c r="E65" s="19"/>
      <c r="F65" s="19"/>
      <c r="G65" s="138">
        <f>SUM(C64:G64)</f>
        <v>4899.8011017594254</v>
      </c>
    </row>
    <row r="75" spans="1:7">
      <c r="A75" t="s">
        <v>152</v>
      </c>
    </row>
  </sheetData>
  <mergeCells count="2">
    <mergeCell ref="B20:F20"/>
    <mergeCell ref="H29:P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2581C-59F4-437E-B1CC-736F9B2855D3}">
  <dimension ref="A1:E16"/>
  <sheetViews>
    <sheetView tabSelected="1" workbookViewId="0">
      <selection activeCell="M11" sqref="M11"/>
    </sheetView>
  </sheetViews>
  <sheetFormatPr defaultRowHeight="14.3"/>
  <cols>
    <col min="1" max="2" width="9" style="1"/>
    <col min="3" max="3" width="13.375" style="1" customWidth="1"/>
    <col min="4" max="4" width="15.625" customWidth="1"/>
    <col min="5" max="5" width="14.75" customWidth="1"/>
    <col min="6" max="6" width="12.375" customWidth="1"/>
  </cols>
  <sheetData>
    <row r="1" spans="1:5" s="8" customFormat="1">
      <c r="A1" s="7" t="s">
        <v>20</v>
      </c>
      <c r="B1" s="7" t="s">
        <v>21</v>
      </c>
      <c r="C1" s="7" t="s">
        <v>3</v>
      </c>
      <c r="D1" s="7" t="s">
        <v>6</v>
      </c>
      <c r="E1" s="7" t="s">
        <v>22</v>
      </c>
    </row>
    <row r="2" spans="1:5">
      <c r="A2" s="1">
        <v>0</v>
      </c>
      <c r="B2" s="11">
        <v>0.05</v>
      </c>
      <c r="C2" s="1">
        <f>A2*B2</f>
        <v>0</v>
      </c>
      <c r="D2" s="1">
        <f>(A2-$C$13)^2*B2</f>
        <v>1.1328799999999999</v>
      </c>
    </row>
    <row r="3" spans="1:5">
      <c r="A3" s="1">
        <v>1</v>
      </c>
      <c r="B3" s="11">
        <v>0.1</v>
      </c>
      <c r="C3" s="1">
        <f t="shared" ref="C3:C12" si="0">A3*B3</f>
        <v>0.1</v>
      </c>
      <c r="D3" s="1">
        <f t="shared" ref="D3:D12" si="1">(A3-$C$13)^2*B3</f>
        <v>1.4137599999999999</v>
      </c>
    </row>
    <row r="4" spans="1:5">
      <c r="A4" s="1">
        <v>2</v>
      </c>
      <c r="B4" s="11">
        <v>0.1</v>
      </c>
      <c r="C4" s="1">
        <f t="shared" si="0"/>
        <v>0.2</v>
      </c>
      <c r="D4" s="1">
        <f t="shared" si="1"/>
        <v>0.76175999999999988</v>
      </c>
    </row>
    <row r="5" spans="1:5">
      <c r="A5" s="1">
        <v>3</v>
      </c>
      <c r="B5" s="11">
        <v>0.15</v>
      </c>
      <c r="C5" s="1">
        <f t="shared" si="0"/>
        <v>0.44999999999999996</v>
      </c>
      <c r="D5" s="1">
        <f t="shared" si="1"/>
        <v>0.46463999999999989</v>
      </c>
    </row>
    <row r="6" spans="1:5">
      <c r="A6" s="1">
        <v>4</v>
      </c>
      <c r="B6" s="11">
        <v>0.05</v>
      </c>
      <c r="C6" s="1">
        <f t="shared" si="0"/>
        <v>0.2</v>
      </c>
      <c r="D6" s="1">
        <f t="shared" si="1"/>
        <v>2.8879999999999986E-2</v>
      </c>
    </row>
    <row r="7" spans="1:5">
      <c r="A7" s="1">
        <v>5</v>
      </c>
      <c r="B7" s="11">
        <v>0.1</v>
      </c>
      <c r="C7" s="1">
        <f t="shared" si="0"/>
        <v>0.5</v>
      </c>
      <c r="D7" s="1">
        <f t="shared" si="1"/>
        <v>5.7600000000000108E-3</v>
      </c>
    </row>
    <row r="8" spans="1:5">
      <c r="A8" s="1">
        <v>6</v>
      </c>
      <c r="B8" s="11">
        <v>0.05</v>
      </c>
      <c r="C8" s="1">
        <f t="shared" si="0"/>
        <v>0.30000000000000004</v>
      </c>
      <c r="D8" s="1">
        <f t="shared" si="1"/>
        <v>7.6880000000000032E-2</v>
      </c>
    </row>
    <row r="9" spans="1:5">
      <c r="A9" s="1">
        <v>7</v>
      </c>
      <c r="B9" s="1">
        <v>0.3</v>
      </c>
      <c r="C9" s="1">
        <f t="shared" si="0"/>
        <v>2.1</v>
      </c>
      <c r="D9" s="1">
        <f t="shared" si="1"/>
        <v>1.5052800000000002</v>
      </c>
    </row>
    <row r="10" spans="1:5">
      <c r="A10" s="1">
        <v>8</v>
      </c>
      <c r="B10" s="1">
        <v>0.02</v>
      </c>
      <c r="C10" s="1">
        <f t="shared" si="0"/>
        <v>0.16</v>
      </c>
      <c r="D10" s="1">
        <f t="shared" si="1"/>
        <v>0.20995200000000006</v>
      </c>
    </row>
    <row r="11" spans="1:5">
      <c r="A11" s="1">
        <v>9</v>
      </c>
      <c r="B11" s="1">
        <v>0.05</v>
      </c>
      <c r="C11" s="1">
        <f t="shared" si="0"/>
        <v>0.45</v>
      </c>
      <c r="D11" s="1">
        <f t="shared" si="1"/>
        <v>0.89888000000000012</v>
      </c>
    </row>
    <row r="12" spans="1:5">
      <c r="A12" s="1">
        <v>10</v>
      </c>
      <c r="B12" s="1">
        <v>0.03</v>
      </c>
      <c r="C12" s="1">
        <f t="shared" si="0"/>
        <v>0.3</v>
      </c>
      <c r="D12" s="1">
        <f t="shared" si="1"/>
        <v>0.82372800000000002</v>
      </c>
    </row>
    <row r="13" spans="1:5">
      <c r="B13" s="6">
        <v>0.6</v>
      </c>
      <c r="C13" s="6">
        <f>SUM(C2:C12)</f>
        <v>4.76</v>
      </c>
      <c r="D13" s="6">
        <f>SUM(D2:D12)</f>
        <v>7.3224</v>
      </c>
      <c r="E13" s="10">
        <f>SQRT(D13)</f>
        <v>2.7059933481071234</v>
      </c>
    </row>
    <row r="14" spans="1:5">
      <c r="C14" s="1" t="s">
        <v>23</v>
      </c>
      <c r="D14" s="1" t="s">
        <v>24</v>
      </c>
      <c r="E14" s="1" t="s">
        <v>25</v>
      </c>
    </row>
    <row r="16" spans="1:5">
      <c r="D16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6479E-268B-45FB-AC90-8287E30726B8}">
  <dimension ref="A1:B9"/>
  <sheetViews>
    <sheetView workbookViewId="0">
      <selection activeCell="B18" sqref="B18"/>
    </sheetView>
  </sheetViews>
  <sheetFormatPr defaultRowHeight="14.3"/>
  <cols>
    <col min="1" max="1" width="12" customWidth="1"/>
  </cols>
  <sheetData>
    <row r="1" spans="1:2">
      <c r="A1" t="s">
        <v>27</v>
      </c>
    </row>
    <row r="2" spans="1:2">
      <c r="A2" t="s">
        <v>29</v>
      </c>
      <c r="B2">
        <f>98%</f>
        <v>0.98</v>
      </c>
    </row>
    <row r="3" spans="1:2">
      <c r="A3" s="12" t="s">
        <v>26</v>
      </c>
      <c r="B3" s="5">
        <f>_xlfn.NORM.S.INV(B2)</f>
        <v>2.0537489106318221</v>
      </c>
    </row>
    <row r="7" spans="1:2">
      <c r="A7" t="s">
        <v>30</v>
      </c>
    </row>
    <row r="8" spans="1:2">
      <c r="A8" s="12" t="s">
        <v>26</v>
      </c>
      <c r="B8">
        <v>1.78</v>
      </c>
    </row>
    <row r="9" spans="1:2">
      <c r="A9" t="s">
        <v>28</v>
      </c>
      <c r="B9" s="5">
        <f>_xlfn.NORM.S.DIST(B8,TRUE)</f>
        <v>0.96246201965148326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05EF7-AC99-41FC-ACE0-05C64945AB94}">
  <dimension ref="A3:M45"/>
  <sheetViews>
    <sheetView topLeftCell="A25" zoomScale="70" zoomScaleNormal="70" workbookViewId="0">
      <selection activeCell="L41" sqref="L41"/>
    </sheetView>
  </sheetViews>
  <sheetFormatPr defaultRowHeight="14.3"/>
  <cols>
    <col min="1" max="1" width="28.875" customWidth="1"/>
    <col min="2" max="2" width="12.125" customWidth="1"/>
    <col min="3" max="3" width="12.25" customWidth="1"/>
    <col min="4" max="4" width="9.5" bestFit="1" customWidth="1"/>
    <col min="6" max="6" width="16.625" customWidth="1"/>
    <col min="8" max="8" width="18.75" customWidth="1"/>
  </cols>
  <sheetData>
    <row r="3" spans="1:4">
      <c r="A3" s="19" t="s">
        <v>31</v>
      </c>
      <c r="B3" s="20">
        <v>11</v>
      </c>
    </row>
    <row r="4" spans="1:4">
      <c r="A4" s="19" t="s">
        <v>32</v>
      </c>
      <c r="B4" s="20">
        <v>30</v>
      </c>
    </row>
    <row r="5" spans="1:4">
      <c r="A5" s="19" t="s">
        <v>33</v>
      </c>
      <c r="B5" s="20">
        <v>2</v>
      </c>
    </row>
    <row r="6" spans="1:4">
      <c r="A6" s="19" t="s">
        <v>34</v>
      </c>
      <c r="B6" s="20">
        <v>2</v>
      </c>
    </row>
    <row r="7" spans="1:4">
      <c r="A7" s="19" t="s">
        <v>35</v>
      </c>
      <c r="B7" s="20">
        <v>140</v>
      </c>
    </row>
    <row r="8" spans="1:4">
      <c r="A8" s="19" t="s">
        <v>36</v>
      </c>
      <c r="B8" s="20">
        <v>85</v>
      </c>
    </row>
    <row r="9" spans="1:4">
      <c r="A9" s="19" t="s">
        <v>37</v>
      </c>
      <c r="B9" s="21">
        <v>0.1</v>
      </c>
    </row>
    <row r="11" spans="1:4">
      <c r="A11" t="s">
        <v>104</v>
      </c>
    </row>
    <row r="12" spans="1:4">
      <c r="A12" s="12" t="s">
        <v>47</v>
      </c>
      <c r="B12" s="5">
        <f>140*2</f>
        <v>280</v>
      </c>
    </row>
    <row r="13" spans="1:4">
      <c r="A13" s="13"/>
    </row>
    <row r="14" spans="1:4">
      <c r="D14" s="14"/>
    </row>
    <row r="15" spans="1:4">
      <c r="A15" t="s">
        <v>110</v>
      </c>
      <c r="D15" t="s">
        <v>54</v>
      </c>
    </row>
    <row r="16" spans="1:4">
      <c r="A16" s="12" t="s">
        <v>53</v>
      </c>
      <c r="B16" s="5">
        <f>700-140*(2+2)</f>
        <v>140</v>
      </c>
      <c r="D16" t="s">
        <v>51</v>
      </c>
    </row>
    <row r="17" spans="1:4">
      <c r="D17" t="s">
        <v>52</v>
      </c>
    </row>
    <row r="18" spans="1:4">
      <c r="D18" t="s">
        <v>55</v>
      </c>
    </row>
    <row r="20" spans="1:4">
      <c r="A20" t="s">
        <v>114</v>
      </c>
    </row>
    <row r="21" spans="1:4">
      <c r="A21" s="12" t="s">
        <v>48</v>
      </c>
      <c r="B21" t="s">
        <v>38</v>
      </c>
    </row>
    <row r="22" spans="1:4">
      <c r="C22">
        <f>85*SQRT(4)</f>
        <v>170</v>
      </c>
    </row>
    <row r="23" spans="1:4">
      <c r="B23" s="12" t="s">
        <v>39</v>
      </c>
      <c r="C23">
        <f>140/170</f>
        <v>0.82352941176470584</v>
      </c>
      <c r="D23" s="15" t="s">
        <v>56</v>
      </c>
    </row>
    <row r="24" spans="1:4">
      <c r="B24" s="12" t="s">
        <v>49</v>
      </c>
      <c r="C24">
        <f>_xlfn.NORM.S.DIST(C23,TRUE)</f>
        <v>0.79489650065387041</v>
      </c>
      <c r="D24" t="s">
        <v>57</v>
      </c>
    </row>
    <row r="25" spans="1:4">
      <c r="B25" s="12" t="s">
        <v>50</v>
      </c>
      <c r="C25" s="9">
        <f>1-C24</f>
        <v>0.20510349934612959</v>
      </c>
      <c r="D25" t="s">
        <v>58</v>
      </c>
    </row>
    <row r="28" spans="1:4">
      <c r="A28" t="s">
        <v>144</v>
      </c>
    </row>
    <row r="29" spans="1:4">
      <c r="A29" s="16">
        <f>1-1%</f>
        <v>0.99</v>
      </c>
      <c r="B29" s="12" t="s">
        <v>39</v>
      </c>
      <c r="C29" s="22">
        <v>2.33</v>
      </c>
      <c r="D29" s="17" t="s">
        <v>40</v>
      </c>
    </row>
    <row r="30" spans="1:4">
      <c r="B30" s="12" t="s">
        <v>59</v>
      </c>
      <c r="C30" s="5">
        <f>140*(2+2)+2.33*85*SQRT(4)</f>
        <v>956.1</v>
      </c>
    </row>
    <row r="33" spans="1:13">
      <c r="A33" t="s">
        <v>152</v>
      </c>
    </row>
    <row r="34" spans="1:13">
      <c r="B34" t="s">
        <v>39</v>
      </c>
      <c r="C34" s="18">
        <v>1.7</v>
      </c>
      <c r="F34" t="s">
        <v>41</v>
      </c>
      <c r="H34" s="5">
        <f>C34*B8*SQRT(2+2)</f>
        <v>289</v>
      </c>
    </row>
    <row r="35" spans="1:13">
      <c r="B35" t="s">
        <v>42</v>
      </c>
      <c r="D35" s="5"/>
      <c r="E35" s="18">
        <f>B7*B6/2+H34</f>
        <v>429</v>
      </c>
    </row>
    <row r="36" spans="1:13">
      <c r="B36" t="s">
        <v>43</v>
      </c>
      <c r="D36" s="5"/>
      <c r="E36" s="18">
        <f>429*11*10%</f>
        <v>471.90000000000003</v>
      </c>
    </row>
    <row r="39" spans="1:13">
      <c r="A39" t="s">
        <v>153</v>
      </c>
    </row>
    <row r="40" spans="1:13">
      <c r="A40" s="94" t="s">
        <v>44</v>
      </c>
      <c r="B40" s="94"/>
      <c r="C40" s="94"/>
      <c r="D40" s="94"/>
    </row>
    <row r="41" spans="1:13">
      <c r="B41" s="5">
        <f>1-(1/(B7*B6))*B8*(SQRT(B5+B6))*E41</f>
        <v>0.9888966985112434</v>
      </c>
      <c r="E41">
        <f>(_xlfn.NORM.DIST(C34,0,1,FALSE)-C34*(1-_xlfn.NORM.DIST(C34,0,1,TRUE)))</f>
        <v>1.8287790687363845E-2</v>
      </c>
      <c r="F41" t="s">
        <v>45</v>
      </c>
    </row>
    <row r="45" spans="1:13">
      <c r="M45" t="s">
        <v>46</v>
      </c>
    </row>
  </sheetData>
  <hyperlinks>
    <hyperlink ref="D29" r:id="rId1" xr:uid="{5FF02A89-559D-46CC-BBBD-90FAF702F642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4927A-0319-45F5-A296-7331900BF2F4}">
  <dimension ref="A1:Q69"/>
  <sheetViews>
    <sheetView topLeftCell="A31" zoomScale="70" zoomScaleNormal="70" workbookViewId="0">
      <selection activeCell="I48" sqref="I48"/>
    </sheetView>
  </sheetViews>
  <sheetFormatPr defaultColWidth="8.75" defaultRowHeight="14.3"/>
  <cols>
    <col min="1" max="1" width="8.75" style="22"/>
    <col min="2" max="2" width="14.625" customWidth="1"/>
    <col min="3" max="3" width="13.5" style="22" bestFit="1" customWidth="1"/>
    <col min="4" max="4" width="14.875" style="22" customWidth="1"/>
    <col min="5" max="5" width="17.5" style="22" customWidth="1"/>
    <col min="6" max="6" width="17.5" style="22" bestFit="1" customWidth="1"/>
    <col min="7" max="7" width="19" style="22" bestFit="1" customWidth="1"/>
    <col min="8" max="9" width="8.75" style="22"/>
    <col min="10" max="10" width="12.875" style="22" customWidth="1"/>
    <col min="11" max="11" width="12" style="22" bestFit="1" customWidth="1"/>
    <col min="12" max="12" width="11.875" style="22" customWidth="1"/>
    <col min="13" max="13" width="11.5" style="22" bestFit="1" customWidth="1"/>
    <col min="14" max="14" width="15.875" style="22" bestFit="1" customWidth="1"/>
    <col min="15" max="15" width="10.625" style="22" bestFit="1" customWidth="1"/>
    <col min="16" max="16" width="18.75" style="22" bestFit="1" customWidth="1"/>
    <col min="17" max="16384" width="8.75" style="22"/>
  </cols>
  <sheetData>
    <row r="1" spans="1:8" ht="14.95" thickBot="1">
      <c r="A1" s="40" t="s">
        <v>67</v>
      </c>
    </row>
    <row r="2" spans="1:8">
      <c r="A2" s="41" t="s">
        <v>68</v>
      </c>
      <c r="B2" s="42" t="s">
        <v>69</v>
      </c>
      <c r="C2" s="43" t="s">
        <v>70</v>
      </c>
      <c r="D2" s="43" t="s">
        <v>71</v>
      </c>
      <c r="E2" s="43" t="s">
        <v>72</v>
      </c>
      <c r="F2" s="43" t="s">
        <v>73</v>
      </c>
      <c r="G2" s="43" t="s">
        <v>74</v>
      </c>
      <c r="H2" s="44" t="s">
        <v>75</v>
      </c>
    </row>
    <row r="3" spans="1:8">
      <c r="A3" s="45">
        <v>1</v>
      </c>
      <c r="B3" s="46">
        <v>1074844</v>
      </c>
      <c r="C3" t="e">
        <v>#N/A</v>
      </c>
      <c r="H3" s="47"/>
    </row>
    <row r="4" spans="1:8">
      <c r="A4" s="45">
        <v>2</v>
      </c>
      <c r="B4" s="46">
        <v>780433</v>
      </c>
      <c r="C4" t="e">
        <v>#N/A</v>
      </c>
      <c r="H4" s="47"/>
    </row>
    <row r="5" spans="1:8">
      <c r="A5" s="45">
        <v>3</v>
      </c>
      <c r="B5" s="46">
        <v>1082218</v>
      </c>
      <c r="C5" t="e">
        <v>#N/A</v>
      </c>
      <c r="H5" s="47"/>
    </row>
    <row r="6" spans="1:8">
      <c r="A6" s="45">
        <v>4</v>
      </c>
      <c r="B6" s="46">
        <v>1009653</v>
      </c>
      <c r="C6" s="48">
        <f>AVERAGE(B3:B6)</f>
        <v>986787</v>
      </c>
      <c r="H6" s="47"/>
    </row>
    <row r="7" spans="1:8">
      <c r="A7" s="45">
        <v>5</v>
      </c>
      <c r="B7" s="46">
        <v>1066739</v>
      </c>
      <c r="C7" s="48">
        <f t="shared" ref="C7:C14" si="0">AVERAGE(B4:B7)</f>
        <v>984760.75</v>
      </c>
      <c r="D7" s="49">
        <f>C6</f>
        <v>986787</v>
      </c>
      <c r="E7" s="49">
        <f>B7-D7</f>
        <v>79952</v>
      </c>
      <c r="F7" s="46">
        <f>ABS(E7)</f>
        <v>79952</v>
      </c>
      <c r="G7" s="49">
        <f>F7^2</f>
        <v>6392322304</v>
      </c>
      <c r="H7" s="50">
        <f>F7/B7</f>
        <v>7.4949917458722329E-2</v>
      </c>
    </row>
    <row r="8" spans="1:8">
      <c r="A8" s="45">
        <v>6</v>
      </c>
      <c r="B8" s="46">
        <v>1297010</v>
      </c>
      <c r="C8" s="48">
        <f t="shared" si="0"/>
        <v>1113905</v>
      </c>
      <c r="D8" s="49">
        <f t="shared" ref="D8:D15" si="1">C7</f>
        <v>984760.75</v>
      </c>
      <c r="E8" s="49">
        <f t="shared" ref="E8:E14" si="2">B8-D8</f>
        <v>312249.25</v>
      </c>
      <c r="F8" s="46">
        <f t="shared" ref="F8:F14" si="3">ABS(E8)</f>
        <v>312249.25</v>
      </c>
      <c r="G8" s="49">
        <f t="shared" ref="G8:G14" si="4">F8^2</f>
        <v>97499594125.5625</v>
      </c>
      <c r="H8" s="50">
        <f t="shared" ref="H8:H14" si="5">F8/B8</f>
        <v>0.24074544529340561</v>
      </c>
    </row>
    <row r="9" spans="1:8">
      <c r="A9" s="45">
        <v>7</v>
      </c>
      <c r="B9" s="46">
        <v>978685</v>
      </c>
      <c r="C9" s="48">
        <f t="shared" si="0"/>
        <v>1088021.75</v>
      </c>
      <c r="D9" s="49">
        <f t="shared" si="1"/>
        <v>1113905</v>
      </c>
      <c r="E9" s="49">
        <f t="shared" si="2"/>
        <v>-135220</v>
      </c>
      <c r="F9" s="46">
        <f t="shared" si="3"/>
        <v>135220</v>
      </c>
      <c r="G9" s="49">
        <f>F9^2</f>
        <v>18284448400</v>
      </c>
      <c r="H9" s="50">
        <f>F9/B9</f>
        <v>0.1381649866913256</v>
      </c>
    </row>
    <row r="10" spans="1:8">
      <c r="A10" s="45">
        <v>8</v>
      </c>
      <c r="B10" s="46">
        <v>1108218</v>
      </c>
      <c r="C10" s="48">
        <f t="shared" si="0"/>
        <v>1112663</v>
      </c>
      <c r="D10" s="49">
        <f t="shared" si="1"/>
        <v>1088021.75</v>
      </c>
      <c r="E10" s="49">
        <f t="shared" si="2"/>
        <v>20196.25</v>
      </c>
      <c r="F10" s="51">
        <f t="shared" si="3"/>
        <v>20196.25</v>
      </c>
      <c r="G10" s="52">
        <f t="shared" si="4"/>
        <v>407888514.0625</v>
      </c>
      <c r="H10" s="53">
        <f t="shared" si="5"/>
        <v>1.8224076851305428E-2</v>
      </c>
    </row>
    <row r="11" spans="1:8">
      <c r="A11" s="45">
        <v>9</v>
      </c>
      <c r="B11" s="46">
        <v>1019778</v>
      </c>
      <c r="C11" s="48">
        <f t="shared" si="0"/>
        <v>1100922.75</v>
      </c>
      <c r="D11" s="49">
        <f t="shared" si="1"/>
        <v>1112663</v>
      </c>
      <c r="E11" s="49">
        <f t="shared" si="2"/>
        <v>-92885</v>
      </c>
      <c r="F11" s="51">
        <f t="shared" si="3"/>
        <v>92885</v>
      </c>
      <c r="G11" s="52">
        <f t="shared" si="4"/>
        <v>8627623225</v>
      </c>
      <c r="H11" s="53">
        <f t="shared" si="5"/>
        <v>9.1083549556864332E-2</v>
      </c>
    </row>
    <row r="12" spans="1:8">
      <c r="A12" s="45">
        <v>10</v>
      </c>
      <c r="B12" s="46">
        <v>999380</v>
      </c>
      <c r="C12" s="48">
        <f t="shared" si="0"/>
        <v>1026515.25</v>
      </c>
      <c r="D12" s="49">
        <f t="shared" si="1"/>
        <v>1100922.75</v>
      </c>
      <c r="E12" s="49">
        <f t="shared" si="2"/>
        <v>-101542.75</v>
      </c>
      <c r="F12" s="51">
        <f t="shared" si="3"/>
        <v>101542.75</v>
      </c>
      <c r="G12" s="52">
        <f t="shared" si="4"/>
        <v>10310930077.5625</v>
      </c>
      <c r="H12" s="53">
        <f t="shared" si="5"/>
        <v>0.10160574556224859</v>
      </c>
    </row>
    <row r="13" spans="1:8">
      <c r="A13" s="45">
        <v>11</v>
      </c>
      <c r="B13" s="46">
        <v>1041070</v>
      </c>
      <c r="C13" s="48">
        <f t="shared" si="0"/>
        <v>1042111.5</v>
      </c>
      <c r="D13" s="49">
        <f t="shared" si="1"/>
        <v>1026515.25</v>
      </c>
      <c r="E13" s="49">
        <f t="shared" si="2"/>
        <v>14554.75</v>
      </c>
      <c r="F13" s="51">
        <f t="shared" si="3"/>
        <v>14554.75</v>
      </c>
      <c r="G13" s="52">
        <f t="shared" si="4"/>
        <v>211840747.5625</v>
      </c>
      <c r="H13" s="53">
        <f t="shared" si="5"/>
        <v>1.3980568069390147E-2</v>
      </c>
    </row>
    <row r="14" spans="1:8" ht="14.95" thickBot="1">
      <c r="A14" s="54">
        <v>12</v>
      </c>
      <c r="B14" s="55">
        <v>821189</v>
      </c>
      <c r="C14" s="56">
        <f t="shared" si="0"/>
        <v>970354.25</v>
      </c>
      <c r="D14" s="57">
        <f t="shared" si="1"/>
        <v>1042111.5</v>
      </c>
      <c r="E14" s="57">
        <f t="shared" si="2"/>
        <v>-220922.5</v>
      </c>
      <c r="F14" s="58">
        <f t="shared" si="3"/>
        <v>220922.5</v>
      </c>
      <c r="G14" s="59">
        <f t="shared" si="4"/>
        <v>48806751006.25</v>
      </c>
      <c r="H14" s="60">
        <f t="shared" si="5"/>
        <v>0.26902759291709949</v>
      </c>
    </row>
    <row r="15" spans="1:8">
      <c r="A15" s="22">
        <v>13</v>
      </c>
      <c r="D15" s="61">
        <f t="shared" si="1"/>
        <v>970354.25</v>
      </c>
      <c r="F15" s="34" t="s">
        <v>65</v>
      </c>
      <c r="G15" s="34" t="s">
        <v>76</v>
      </c>
      <c r="H15" s="34" t="s">
        <v>77</v>
      </c>
    </row>
    <row r="16" spans="1:8">
      <c r="F16" s="62">
        <f>AVERAGE(F10:F14)</f>
        <v>90020.25</v>
      </c>
      <c r="G16" s="63">
        <f>AVERAGE(G10:G14)</f>
        <v>13673006714.0875</v>
      </c>
      <c r="H16" s="64">
        <f>AVERAGE(H10:H14)</f>
        <v>9.8784306591381599E-2</v>
      </c>
    </row>
    <row r="17" spans="1:17">
      <c r="F17" s="62"/>
      <c r="G17" s="62"/>
      <c r="H17" s="64"/>
    </row>
    <row r="18" spans="1:17">
      <c r="A18" s="65" t="s">
        <v>78</v>
      </c>
    </row>
    <row r="21" spans="1:17" ht="14.95" thickBot="1">
      <c r="A21" s="40" t="s">
        <v>79</v>
      </c>
      <c r="J21" s="40" t="s">
        <v>80</v>
      </c>
    </row>
    <row r="22" spans="1:17">
      <c r="A22" s="41" t="s">
        <v>68</v>
      </c>
      <c r="B22" s="42" t="s">
        <v>69</v>
      </c>
      <c r="C22" s="43" t="s">
        <v>70</v>
      </c>
      <c r="D22" s="43" t="s">
        <v>71</v>
      </c>
      <c r="E22" s="43" t="s">
        <v>72</v>
      </c>
      <c r="F22" s="43" t="s">
        <v>73</v>
      </c>
      <c r="G22" s="43" t="s">
        <v>74</v>
      </c>
      <c r="H22" s="44" t="s">
        <v>75</v>
      </c>
      <c r="J22" s="41" t="s">
        <v>68</v>
      </c>
      <c r="K22" s="42" t="s">
        <v>69</v>
      </c>
      <c r="L22" s="43" t="s">
        <v>70</v>
      </c>
      <c r="M22" s="43" t="s">
        <v>71</v>
      </c>
      <c r="N22" s="43" t="s">
        <v>72</v>
      </c>
      <c r="O22" s="43" t="s">
        <v>73</v>
      </c>
      <c r="P22" s="43" t="s">
        <v>74</v>
      </c>
      <c r="Q22" s="44" t="s">
        <v>75</v>
      </c>
    </row>
    <row r="23" spans="1:17">
      <c r="A23" s="45">
        <v>1</v>
      </c>
      <c r="B23" s="46">
        <v>1074844</v>
      </c>
      <c r="C23" t="e">
        <v>#N/A</v>
      </c>
      <c r="H23" s="47"/>
      <c r="J23" s="45">
        <v>1</v>
      </c>
      <c r="K23" s="46">
        <v>1074844</v>
      </c>
      <c r="L23" t="e">
        <v>#N/A</v>
      </c>
      <c r="Q23" s="47"/>
    </row>
    <row r="24" spans="1:17">
      <c r="A24" s="45">
        <v>2</v>
      </c>
      <c r="B24" s="46">
        <v>780433</v>
      </c>
      <c r="C24" t="e">
        <v>#N/A</v>
      </c>
      <c r="H24" s="47"/>
      <c r="J24" s="45">
        <v>2</v>
      </c>
      <c r="K24" s="46">
        <v>780433</v>
      </c>
      <c r="L24" t="e">
        <v>#N/A</v>
      </c>
      <c r="Q24" s="47"/>
    </row>
    <row r="25" spans="1:17">
      <c r="A25" s="45">
        <v>3</v>
      </c>
      <c r="B25" s="46">
        <v>1082218</v>
      </c>
      <c r="C25" t="e">
        <v>#N/A</v>
      </c>
      <c r="H25" s="47"/>
      <c r="J25" s="45">
        <v>3</v>
      </c>
      <c r="K25" s="46">
        <v>1082218</v>
      </c>
      <c r="L25" t="e">
        <v>#N/A</v>
      </c>
      <c r="Q25" s="47"/>
    </row>
    <row r="26" spans="1:17">
      <c r="A26" s="45">
        <v>4</v>
      </c>
      <c r="B26" s="46">
        <v>1009653</v>
      </c>
      <c r="C26" t="e">
        <v>#N/A</v>
      </c>
      <c r="H26" s="47"/>
      <c r="J26" s="45">
        <v>4</v>
      </c>
      <c r="K26" s="46">
        <v>1009653</v>
      </c>
      <c r="L26" t="e">
        <v>#N/A</v>
      </c>
      <c r="Q26" s="47"/>
    </row>
    <row r="27" spans="1:17">
      <c r="A27" s="45">
        <v>5</v>
      </c>
      <c r="B27" s="46">
        <v>1066739</v>
      </c>
      <c r="C27" s="48">
        <f t="shared" ref="C27:C34" si="6">AVERAGE(B23:B27)</f>
        <v>1002777.4</v>
      </c>
      <c r="D27" s="49"/>
      <c r="E27" s="49"/>
      <c r="F27" s="46"/>
      <c r="G27" s="49"/>
      <c r="H27" s="50"/>
      <c r="J27" s="45">
        <v>5</v>
      </c>
      <c r="K27" s="46">
        <v>1066739</v>
      </c>
      <c r="L27" t="e">
        <v>#N/A</v>
      </c>
      <c r="M27" s="49"/>
      <c r="N27" s="49"/>
      <c r="O27" s="46"/>
      <c r="P27" s="49"/>
      <c r="Q27" s="50"/>
    </row>
    <row r="28" spans="1:17">
      <c r="A28" s="45">
        <v>6</v>
      </c>
      <c r="B28" s="46">
        <v>1297010</v>
      </c>
      <c r="C28" s="48">
        <f t="shared" si="6"/>
        <v>1047210.6</v>
      </c>
      <c r="D28" s="49">
        <f>C27</f>
        <v>1002777.4</v>
      </c>
      <c r="E28" s="49">
        <f>B28-D28</f>
        <v>294232.59999999998</v>
      </c>
      <c r="F28" s="46">
        <f>ABS(E28)</f>
        <v>294232.59999999998</v>
      </c>
      <c r="G28" s="66">
        <f>F28^2</f>
        <v>86572822902.759979</v>
      </c>
      <c r="H28" s="50">
        <f>F28/B28</f>
        <v>0.22685453466048833</v>
      </c>
      <c r="J28" s="45">
        <v>6</v>
      </c>
      <c r="K28" s="46">
        <v>1297010</v>
      </c>
      <c r="L28" t="e">
        <v>#N/A</v>
      </c>
      <c r="M28" s="49"/>
      <c r="N28" s="49"/>
      <c r="O28" s="46"/>
      <c r="P28" s="49"/>
      <c r="Q28" s="50"/>
    </row>
    <row r="29" spans="1:17">
      <c r="A29" s="45">
        <v>7</v>
      </c>
      <c r="B29" s="46">
        <v>978685</v>
      </c>
      <c r="C29" s="48">
        <f t="shared" si="6"/>
        <v>1086861</v>
      </c>
      <c r="D29" s="49">
        <f t="shared" ref="D29:D35" si="7">C28</f>
        <v>1047210.6</v>
      </c>
      <c r="E29" s="49">
        <f t="shared" ref="E29:E34" si="8">B29-D29</f>
        <v>-68525.599999999977</v>
      </c>
      <c r="F29" s="46">
        <f t="shared" ref="F29:F34" si="9">ABS(E29)</f>
        <v>68525.599999999977</v>
      </c>
      <c r="G29" s="66">
        <f t="shared" ref="G29:G34" si="10">F29^2</f>
        <v>4695757855.3599968</v>
      </c>
      <c r="H29" s="50">
        <f t="shared" ref="H29:H34" si="11">F29/B29</f>
        <v>7.0018034403306451E-2</v>
      </c>
      <c r="J29" s="45">
        <v>7</v>
      </c>
      <c r="K29" s="46">
        <v>978685</v>
      </c>
      <c r="L29" s="48">
        <f t="shared" ref="L29:L34" si="12">AVERAGE(K23:K29)</f>
        <v>1041368.8571428572</v>
      </c>
      <c r="M29" s="49"/>
      <c r="N29" s="49"/>
      <c r="O29" s="46"/>
      <c r="P29" s="49"/>
      <c r="Q29" s="50"/>
    </row>
    <row r="30" spans="1:17">
      <c r="A30" s="45">
        <v>8</v>
      </c>
      <c r="B30" s="46">
        <v>1108218</v>
      </c>
      <c r="C30" s="48">
        <f t="shared" si="6"/>
        <v>1092061</v>
      </c>
      <c r="D30" s="49">
        <f t="shared" si="7"/>
        <v>1086861</v>
      </c>
      <c r="E30" s="49">
        <f t="shared" si="8"/>
        <v>21357</v>
      </c>
      <c r="F30" s="51">
        <f t="shared" si="9"/>
        <v>21357</v>
      </c>
      <c r="G30" s="67">
        <f t="shared" si="10"/>
        <v>456121449</v>
      </c>
      <c r="H30" s="53">
        <f t="shared" si="11"/>
        <v>1.9271479077221269E-2</v>
      </c>
      <c r="J30" s="45">
        <v>8</v>
      </c>
      <c r="K30" s="46">
        <v>1108218</v>
      </c>
      <c r="L30" s="48">
        <f t="shared" si="12"/>
        <v>1046136.5714285715</v>
      </c>
      <c r="M30" s="49">
        <f>L29</f>
        <v>1041368.8571428572</v>
      </c>
      <c r="N30" s="49">
        <f>K30-M30</f>
        <v>66849.142857142841</v>
      </c>
      <c r="O30" s="51">
        <f>ABS(N30)</f>
        <v>66849.142857142841</v>
      </c>
      <c r="P30" s="67">
        <f>N30^2</f>
        <v>4468807900.7346916</v>
      </c>
      <c r="Q30" s="53">
        <f>O30/K30</f>
        <v>6.0321293154544361E-2</v>
      </c>
    </row>
    <row r="31" spans="1:17">
      <c r="A31" s="45">
        <v>9</v>
      </c>
      <c r="B31" s="46">
        <v>1019778</v>
      </c>
      <c r="C31" s="48">
        <f t="shared" si="6"/>
        <v>1094086</v>
      </c>
      <c r="D31" s="49">
        <f t="shared" si="7"/>
        <v>1092061</v>
      </c>
      <c r="E31" s="49">
        <f t="shared" si="8"/>
        <v>-72283</v>
      </c>
      <c r="F31" s="51">
        <f t="shared" si="9"/>
        <v>72283</v>
      </c>
      <c r="G31" s="67">
        <f t="shared" si="10"/>
        <v>5224832089</v>
      </c>
      <c r="H31" s="53">
        <f t="shared" si="11"/>
        <v>7.0881113340354462E-2</v>
      </c>
      <c r="J31" s="45">
        <v>9</v>
      </c>
      <c r="K31" s="46">
        <v>1019778</v>
      </c>
      <c r="L31" s="48">
        <f t="shared" si="12"/>
        <v>1080328.7142857143</v>
      </c>
      <c r="M31" s="49">
        <f t="shared" ref="M31:M35" si="13">L30</f>
        <v>1046136.5714285715</v>
      </c>
      <c r="N31" s="49">
        <f t="shared" ref="N31:N34" si="14">K31-M31</f>
        <v>-26358.571428571478</v>
      </c>
      <c r="O31" s="51">
        <f>ABS(N31)</f>
        <v>26358.571428571478</v>
      </c>
      <c r="P31" s="67">
        <f t="shared" ref="P31:P33" si="15">N31^2</f>
        <v>694774287.75510466</v>
      </c>
      <c r="Q31" s="53">
        <f t="shared" ref="Q31:Q34" si="16">O31/K31</f>
        <v>2.5847362297060222E-2</v>
      </c>
    </row>
    <row r="32" spans="1:17">
      <c r="A32" s="45">
        <v>10</v>
      </c>
      <c r="B32" s="46">
        <v>999380</v>
      </c>
      <c r="C32" s="48">
        <f t="shared" si="6"/>
        <v>1080614.2</v>
      </c>
      <c r="D32" s="49">
        <f t="shared" si="7"/>
        <v>1094086</v>
      </c>
      <c r="E32" s="49">
        <f t="shared" si="8"/>
        <v>-94706</v>
      </c>
      <c r="F32" s="51">
        <f t="shared" si="9"/>
        <v>94706</v>
      </c>
      <c r="G32" s="67">
        <f t="shared" si="10"/>
        <v>8969226436</v>
      </c>
      <c r="H32" s="53">
        <f t="shared" si="11"/>
        <v>9.4764754147571489E-2</v>
      </c>
      <c r="J32" s="45">
        <v>10</v>
      </c>
      <c r="K32" s="46">
        <v>999380</v>
      </c>
      <c r="L32" s="48">
        <f t="shared" si="12"/>
        <v>1068494.7142857143</v>
      </c>
      <c r="M32" s="49">
        <f t="shared" si="13"/>
        <v>1080328.7142857143</v>
      </c>
      <c r="N32" s="49">
        <f t="shared" si="14"/>
        <v>-80948.714285714319</v>
      </c>
      <c r="O32" s="51">
        <f t="shared" ref="O32:O34" si="17">ABS(N32)</f>
        <v>80948.714285714319</v>
      </c>
      <c r="P32" s="67">
        <f t="shared" si="15"/>
        <v>6552694344.5102091</v>
      </c>
      <c r="Q32" s="53">
        <f t="shared" si="16"/>
        <v>8.099893362456155E-2</v>
      </c>
    </row>
    <row r="33" spans="1:17">
      <c r="A33" s="45">
        <v>11</v>
      </c>
      <c r="B33" s="46">
        <v>1041070</v>
      </c>
      <c r="C33" s="48">
        <f t="shared" si="6"/>
        <v>1029426.2</v>
      </c>
      <c r="D33" s="49">
        <f t="shared" si="7"/>
        <v>1080614.2</v>
      </c>
      <c r="E33" s="49">
        <f t="shared" si="8"/>
        <v>-39544.199999999953</v>
      </c>
      <c r="F33" s="51">
        <f t="shared" si="9"/>
        <v>39544.199999999953</v>
      </c>
      <c r="G33" s="67">
        <f t="shared" si="10"/>
        <v>1563743753.6399963</v>
      </c>
      <c r="H33" s="53">
        <f t="shared" si="11"/>
        <v>3.7984189343656001E-2</v>
      </c>
      <c r="J33" s="45">
        <v>11</v>
      </c>
      <c r="K33" s="46">
        <v>1041070</v>
      </c>
      <c r="L33" s="48">
        <f t="shared" si="12"/>
        <v>1072982.857142857</v>
      </c>
      <c r="M33" s="49">
        <f t="shared" si="13"/>
        <v>1068494.7142857143</v>
      </c>
      <c r="N33" s="49">
        <f t="shared" si="14"/>
        <v>-27424.714285714319</v>
      </c>
      <c r="O33" s="51">
        <f t="shared" si="17"/>
        <v>27424.714285714319</v>
      </c>
      <c r="P33" s="67">
        <f t="shared" si="15"/>
        <v>752114953.65306306</v>
      </c>
      <c r="Q33" s="53">
        <f t="shared" si="16"/>
        <v>2.6342814878648237E-2</v>
      </c>
    </row>
    <row r="34" spans="1:17" ht="14.95" thickBot="1">
      <c r="A34" s="54">
        <v>12</v>
      </c>
      <c r="B34" s="55">
        <v>821189</v>
      </c>
      <c r="C34" s="56">
        <f t="shared" si="6"/>
        <v>997927</v>
      </c>
      <c r="D34" s="57">
        <f t="shared" si="7"/>
        <v>1029426.2</v>
      </c>
      <c r="E34" s="57">
        <f t="shared" si="8"/>
        <v>-208237.19999999995</v>
      </c>
      <c r="F34" s="58">
        <f t="shared" si="9"/>
        <v>208237.19999999995</v>
      </c>
      <c r="G34" s="68">
        <f t="shared" si="10"/>
        <v>43362731463.839981</v>
      </c>
      <c r="H34" s="60">
        <f t="shared" si="11"/>
        <v>0.25358011371316463</v>
      </c>
      <c r="J34" s="54">
        <v>12</v>
      </c>
      <c r="K34" s="55">
        <v>821189</v>
      </c>
      <c r="L34" s="48">
        <f t="shared" si="12"/>
        <v>1037904.2857142857</v>
      </c>
      <c r="M34" s="49">
        <f t="shared" si="13"/>
        <v>1072982.857142857</v>
      </c>
      <c r="N34" s="49">
        <f t="shared" si="14"/>
        <v>-251793.85714285704</v>
      </c>
      <c r="O34" s="51">
        <f t="shared" si="17"/>
        <v>251793.85714285704</v>
      </c>
      <c r="P34" s="67">
        <f>N34^2</f>
        <v>63400146494.877502</v>
      </c>
      <c r="Q34" s="53">
        <f t="shared" si="16"/>
        <v>0.30662107887813528</v>
      </c>
    </row>
    <row r="35" spans="1:17">
      <c r="D35" s="69">
        <f t="shared" si="7"/>
        <v>997927</v>
      </c>
      <c r="F35" s="34" t="s">
        <v>65</v>
      </c>
      <c r="G35" s="34" t="s">
        <v>76</v>
      </c>
      <c r="H35" s="34" t="s">
        <v>77</v>
      </c>
      <c r="M35" s="70">
        <f t="shared" si="13"/>
        <v>1037904.2857142857</v>
      </c>
      <c r="O35" s="34" t="s">
        <v>65</v>
      </c>
      <c r="P35" s="34" t="s">
        <v>76</v>
      </c>
      <c r="Q35" s="34" t="s">
        <v>77</v>
      </c>
    </row>
    <row r="36" spans="1:17">
      <c r="D36" s="49"/>
      <c r="F36" s="49">
        <f>AVERAGE(F30:F34)</f>
        <v>87225.479999999981</v>
      </c>
      <c r="G36" s="69">
        <f>AVERAGE(G30:G34)</f>
        <v>11915331038.295996</v>
      </c>
      <c r="H36" s="71">
        <f>AVERAGE(H30:H34)</f>
        <v>9.5296329924393561E-2</v>
      </c>
      <c r="O36" s="49">
        <f>AVERAGE(O30:O34)</f>
        <v>90675</v>
      </c>
      <c r="P36" s="70">
        <f>AVERAGE(P30:P34)</f>
        <v>15173707596.306116</v>
      </c>
      <c r="Q36" s="72">
        <f>AVERAGE(Q30:Q34)</f>
        <v>0.10002629656658993</v>
      </c>
    </row>
    <row r="50" spans="1:7">
      <c r="A50" s="22" t="s">
        <v>82</v>
      </c>
    </row>
    <row r="51" spans="1:7">
      <c r="A51" s="22" t="s">
        <v>83</v>
      </c>
    </row>
    <row r="54" spans="1:7" ht="14.95" thickBot="1">
      <c r="A54" s="40" t="s">
        <v>81</v>
      </c>
    </row>
    <row r="55" spans="1:7">
      <c r="A55" s="41" t="s">
        <v>68</v>
      </c>
      <c r="B55" s="42" t="s">
        <v>69</v>
      </c>
      <c r="C55" s="43" t="s">
        <v>71</v>
      </c>
      <c r="D55" s="43" t="s">
        <v>72</v>
      </c>
      <c r="E55" s="43" t="s">
        <v>73</v>
      </c>
      <c r="F55" s="43" t="s">
        <v>74</v>
      </c>
      <c r="G55" s="44" t="s">
        <v>75</v>
      </c>
    </row>
    <row r="56" spans="1:7">
      <c r="A56" s="45">
        <v>1</v>
      </c>
      <c r="B56" s="46">
        <v>1074844</v>
      </c>
      <c r="C56" t="e">
        <v>#N/A</v>
      </c>
      <c r="G56" s="47"/>
    </row>
    <row r="57" spans="1:7">
      <c r="A57" s="45">
        <v>2</v>
      </c>
      <c r="B57" s="46">
        <v>780433</v>
      </c>
      <c r="C57" s="73">
        <f>B56</f>
        <v>1074844</v>
      </c>
      <c r="D57" s="49">
        <f>B57-C57</f>
        <v>-294411</v>
      </c>
      <c r="E57" s="46">
        <f>ABS(D57)</f>
        <v>294411</v>
      </c>
      <c r="F57" s="49">
        <f>D57^2</f>
        <v>86677836921</v>
      </c>
      <c r="G57" s="50">
        <f>E57/B57</f>
        <v>0.37724058311219538</v>
      </c>
    </row>
    <row r="58" spans="1:7">
      <c r="A58" s="45">
        <v>3</v>
      </c>
      <c r="B58" s="46">
        <v>1082218</v>
      </c>
      <c r="C58" s="73">
        <f t="shared" ref="C58:C68" si="18">0.25*B57+0.75*C57</f>
        <v>1001241.25</v>
      </c>
      <c r="D58" s="49">
        <f t="shared" ref="D58:D67" si="19">B58-C58</f>
        <v>80976.75</v>
      </c>
      <c r="E58" s="46">
        <f t="shared" ref="E58:E67" si="20">ABS(D58)</f>
        <v>80976.75</v>
      </c>
      <c r="F58" s="49">
        <f t="shared" ref="F58:F67" si="21">D58^2</f>
        <v>6557234040.5625</v>
      </c>
      <c r="G58" s="50">
        <f t="shared" ref="G58:G67" si="22">E58/B58</f>
        <v>7.4824804244616155E-2</v>
      </c>
    </row>
    <row r="59" spans="1:7">
      <c r="A59" s="45">
        <v>4</v>
      </c>
      <c r="B59" s="46">
        <v>1009653</v>
      </c>
      <c r="C59" s="73">
        <f t="shared" si="18"/>
        <v>1021485.4375</v>
      </c>
      <c r="D59" s="49">
        <f t="shared" si="19"/>
        <v>-11832.4375</v>
      </c>
      <c r="E59" s="46">
        <f t="shared" si="20"/>
        <v>11832.4375</v>
      </c>
      <c r="F59" s="49">
        <f t="shared" si="21"/>
        <v>140006577.19140625</v>
      </c>
      <c r="G59" s="50">
        <f t="shared" si="22"/>
        <v>1.171931099100384E-2</v>
      </c>
    </row>
    <row r="60" spans="1:7">
      <c r="A60" s="45">
        <v>5</v>
      </c>
      <c r="B60" s="46">
        <v>1066739</v>
      </c>
      <c r="C60" s="73">
        <f t="shared" si="18"/>
        <v>1018527.328125</v>
      </c>
      <c r="D60" s="49">
        <f t="shared" si="19"/>
        <v>48211.671875</v>
      </c>
      <c r="E60" s="46">
        <f t="shared" si="20"/>
        <v>48211.671875</v>
      </c>
      <c r="F60" s="49">
        <f t="shared" si="21"/>
        <v>2324365304.982666</v>
      </c>
      <c r="G60" s="50">
        <f t="shared" si="22"/>
        <v>4.5195377571270949E-2</v>
      </c>
    </row>
    <row r="61" spans="1:7">
      <c r="A61" s="45">
        <v>6</v>
      </c>
      <c r="B61" s="46">
        <v>1297010</v>
      </c>
      <c r="C61" s="73">
        <f t="shared" si="18"/>
        <v>1030580.24609375</v>
      </c>
      <c r="D61" s="49">
        <f t="shared" si="19"/>
        <v>266429.75390625</v>
      </c>
      <c r="E61" s="46">
        <f t="shared" si="20"/>
        <v>266429.75390625</v>
      </c>
      <c r="F61" s="49">
        <f t="shared" si="21"/>
        <v>70984813766.544937</v>
      </c>
      <c r="G61" s="50">
        <f t="shared" si="22"/>
        <v>0.20541842692519718</v>
      </c>
    </row>
    <row r="62" spans="1:7">
      <c r="A62" s="45">
        <v>7</v>
      </c>
      <c r="B62" s="46">
        <v>978685</v>
      </c>
      <c r="C62" s="73">
        <f t="shared" si="18"/>
        <v>1097187.6845703125</v>
      </c>
      <c r="D62" s="49">
        <f t="shared" si="19"/>
        <v>-118502.6845703125</v>
      </c>
      <c r="E62" s="46">
        <f t="shared" si="20"/>
        <v>118502.6845703125</v>
      </c>
      <c r="F62" s="49">
        <f t="shared" si="21"/>
        <v>14042886250.370979</v>
      </c>
      <c r="G62" s="50">
        <f t="shared" si="22"/>
        <v>0.12108358110149077</v>
      </c>
    </row>
    <row r="63" spans="1:7">
      <c r="A63" s="45">
        <v>8</v>
      </c>
      <c r="B63" s="74">
        <v>1108218</v>
      </c>
      <c r="C63" s="75">
        <f>0.25*B62+0.75*C62</f>
        <v>1067562.0134277344</v>
      </c>
      <c r="D63" s="49">
        <f t="shared" si="19"/>
        <v>40655.986572265625</v>
      </c>
      <c r="E63" s="51">
        <f t="shared" si="20"/>
        <v>40655.986572265625</v>
      </c>
      <c r="F63" s="52">
        <f t="shared" si="21"/>
        <v>1652909244.1642427</v>
      </c>
      <c r="G63" s="53">
        <f t="shared" si="22"/>
        <v>3.6685910689291841E-2</v>
      </c>
    </row>
    <row r="64" spans="1:7">
      <c r="A64" s="45">
        <v>9</v>
      </c>
      <c r="B64" s="74">
        <v>1019778</v>
      </c>
      <c r="C64" s="75">
        <f t="shared" si="18"/>
        <v>1077726.0100708008</v>
      </c>
      <c r="D64" s="49">
        <f t="shared" si="19"/>
        <v>-57948.010070800781</v>
      </c>
      <c r="E64" s="51">
        <f t="shared" si="20"/>
        <v>57948.010070800781</v>
      </c>
      <c r="F64" s="52">
        <f t="shared" si="21"/>
        <v>3357971871.1656289</v>
      </c>
      <c r="G64" s="53">
        <f t="shared" si="22"/>
        <v>5.6824142186633543E-2</v>
      </c>
    </row>
    <row r="65" spans="1:7">
      <c r="A65" s="45">
        <v>10</v>
      </c>
      <c r="B65" s="74">
        <v>999380</v>
      </c>
      <c r="C65" s="75">
        <f t="shared" si="18"/>
        <v>1063239.0075531006</v>
      </c>
      <c r="D65" s="49">
        <f t="shared" si="19"/>
        <v>-63859.007553100586</v>
      </c>
      <c r="E65" s="51">
        <f t="shared" si="20"/>
        <v>63859.007553100586</v>
      </c>
      <c r="F65" s="52">
        <f t="shared" si="21"/>
        <v>4077972845.6669579</v>
      </c>
      <c r="G65" s="53">
        <f t="shared" si="22"/>
        <v>6.3898624700414838E-2</v>
      </c>
    </row>
    <row r="66" spans="1:7">
      <c r="A66" s="45">
        <v>11</v>
      </c>
      <c r="B66" s="74">
        <v>1041070</v>
      </c>
      <c r="C66" s="75">
        <f>0.25*B65+0.75*C65</f>
        <v>1047274.2556648254</v>
      </c>
      <c r="D66" s="49">
        <f t="shared" si="19"/>
        <v>-6204.2556648254395</v>
      </c>
      <c r="E66" s="51">
        <f t="shared" si="20"/>
        <v>6204.2556648254395</v>
      </c>
      <c r="F66" s="52">
        <f t="shared" si="21"/>
        <v>38492788.354518555</v>
      </c>
      <c r="G66" s="53">
        <f t="shared" si="22"/>
        <v>5.9594990392821227E-3</v>
      </c>
    </row>
    <row r="67" spans="1:7" ht="14.95" thickBot="1">
      <c r="A67" s="54">
        <v>12</v>
      </c>
      <c r="B67" s="76">
        <v>821189</v>
      </c>
      <c r="C67" s="77">
        <f t="shared" si="18"/>
        <v>1045723.1917486191</v>
      </c>
      <c r="D67" s="57">
        <f t="shared" si="19"/>
        <v>-224534.19174861908</v>
      </c>
      <c r="E67" s="58">
        <f t="shared" si="20"/>
        <v>224534.19174861908</v>
      </c>
      <c r="F67" s="59">
        <f t="shared" si="21"/>
        <v>50415603264.205643</v>
      </c>
      <c r="G67" s="60">
        <f t="shared" si="22"/>
        <v>0.2734257177685272</v>
      </c>
    </row>
    <row r="68" spans="1:7">
      <c r="C68" s="78">
        <f t="shared" si="18"/>
        <v>989589.64381146431</v>
      </c>
      <c r="E68" s="40" t="s">
        <v>65</v>
      </c>
      <c r="F68" s="40" t="s">
        <v>76</v>
      </c>
      <c r="G68" s="40" t="s">
        <v>77</v>
      </c>
    </row>
    <row r="69" spans="1:7">
      <c r="E69" s="49">
        <f>AVERAGE(E63:E67)</f>
        <v>78640.290321922308</v>
      </c>
      <c r="F69" s="79">
        <f>AVERAGE(F63:F67)</f>
        <v>11908590002.711399</v>
      </c>
      <c r="G69" s="71">
        <f>AVERAGE(G63:G67)</f>
        <v>8.7358778876829898E-2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A0024-018F-4AE4-846C-47579D465472}">
  <dimension ref="B2:Z61"/>
  <sheetViews>
    <sheetView topLeftCell="P31" zoomScale="70" zoomScaleNormal="70" workbookViewId="0">
      <selection activeCell="AC45" sqref="AC45"/>
    </sheetView>
  </sheetViews>
  <sheetFormatPr defaultRowHeight="14.3"/>
  <cols>
    <col min="3" max="4" width="10.25" customWidth="1"/>
    <col min="5" max="6" width="13.375" customWidth="1"/>
    <col min="7" max="7" width="19.625" customWidth="1"/>
    <col min="8" max="8" width="17.625" customWidth="1"/>
    <col min="9" max="9" width="11.375" customWidth="1"/>
    <col min="12" max="12" width="9.125" customWidth="1"/>
    <col min="13" max="13" width="13.875" customWidth="1"/>
    <col min="16" max="18" width="13.875" customWidth="1"/>
    <col min="20" max="20" width="16.75" bestFit="1" customWidth="1"/>
    <col min="21" max="21" width="6.125" style="1" bestFit="1" customWidth="1"/>
    <col min="22" max="22" width="11" style="1" bestFit="1" customWidth="1"/>
    <col min="23" max="23" width="16.375" customWidth="1"/>
  </cols>
  <sheetData>
    <row r="2" spans="2:17">
      <c r="G2" s="23" t="s">
        <v>60</v>
      </c>
      <c r="J2" t="s">
        <v>84</v>
      </c>
      <c r="M2" t="s">
        <v>85</v>
      </c>
      <c r="P2" s="1"/>
      <c r="Q2" s="1"/>
    </row>
    <row r="3" spans="2:17">
      <c r="B3" s="24" t="s">
        <v>61</v>
      </c>
      <c r="C3" s="24" t="s">
        <v>20</v>
      </c>
      <c r="D3" s="24" t="s">
        <v>62</v>
      </c>
      <c r="E3" s="24" t="s">
        <v>63</v>
      </c>
      <c r="F3" s="24" t="s">
        <v>64</v>
      </c>
      <c r="G3" s="25" t="s">
        <v>62</v>
      </c>
      <c r="H3" s="25" t="s">
        <v>63</v>
      </c>
      <c r="I3" s="25" t="s">
        <v>64</v>
      </c>
      <c r="J3" s="26" t="s">
        <v>62</v>
      </c>
      <c r="K3" s="26" t="s">
        <v>63</v>
      </c>
      <c r="L3" s="26" t="s">
        <v>64</v>
      </c>
      <c r="M3" s="27" t="s">
        <v>62</v>
      </c>
      <c r="N3" s="27" t="s">
        <v>63</v>
      </c>
      <c r="O3" s="27" t="s">
        <v>64</v>
      </c>
      <c r="P3" s="1"/>
      <c r="Q3" s="1"/>
    </row>
    <row r="4" spans="2:17">
      <c r="B4" s="24">
        <v>1</v>
      </c>
      <c r="C4" s="28">
        <v>202</v>
      </c>
      <c r="D4" s="29">
        <v>201</v>
      </c>
      <c r="E4" s="29">
        <v>217</v>
      </c>
      <c r="F4" s="29">
        <v>181</v>
      </c>
      <c r="G4" s="30">
        <f>D4-C4</f>
        <v>-1</v>
      </c>
      <c r="H4" s="31">
        <f>E4-C4</f>
        <v>15</v>
      </c>
      <c r="I4" s="31">
        <f>F4-C4</f>
        <v>-21</v>
      </c>
      <c r="J4" s="32">
        <f>ABS(G4)</f>
        <v>1</v>
      </c>
      <c r="K4" s="32">
        <f t="shared" ref="K4:L19" si="0">ABS(H4)</f>
        <v>15</v>
      </c>
      <c r="L4" s="32">
        <f>ABS(I4)</f>
        <v>21</v>
      </c>
      <c r="M4" s="33">
        <f>G4^2</f>
        <v>1</v>
      </c>
      <c r="N4" s="33">
        <f>H4^2</f>
        <v>225</v>
      </c>
      <c r="O4" s="33">
        <f>I4^2</f>
        <v>441</v>
      </c>
      <c r="P4" s="1"/>
      <c r="Q4" s="1"/>
    </row>
    <row r="5" spans="2:17">
      <c r="B5" s="24">
        <v>2</v>
      </c>
      <c r="C5" s="28">
        <v>198</v>
      </c>
      <c r="D5" s="29">
        <v>203</v>
      </c>
      <c r="E5" s="29">
        <v>219</v>
      </c>
      <c r="F5" s="29">
        <v>180</v>
      </c>
      <c r="G5" s="30">
        <f>D5-C5</f>
        <v>5</v>
      </c>
      <c r="H5" s="31">
        <f t="shared" ref="H5:H23" si="1">E5-C5</f>
        <v>21</v>
      </c>
      <c r="I5" s="31">
        <f t="shared" ref="I5:I23" si="2">F5-C5</f>
        <v>-18</v>
      </c>
      <c r="J5" s="32">
        <f t="shared" ref="J5:L23" si="3">ABS(G5)</f>
        <v>5</v>
      </c>
      <c r="K5" s="32">
        <f t="shared" si="0"/>
        <v>21</v>
      </c>
      <c r="L5" s="32">
        <f t="shared" si="0"/>
        <v>18</v>
      </c>
      <c r="M5" s="33">
        <f>G5^2</f>
        <v>25</v>
      </c>
      <c r="N5" s="33">
        <f t="shared" ref="M5:O22" si="4">H5^2</f>
        <v>441</v>
      </c>
      <c r="O5" s="33">
        <f t="shared" si="4"/>
        <v>324</v>
      </c>
      <c r="P5" s="1"/>
      <c r="Q5" s="1"/>
    </row>
    <row r="6" spans="2:17">
      <c r="B6" s="24">
        <v>3</v>
      </c>
      <c r="C6" s="28">
        <v>201</v>
      </c>
      <c r="D6" s="29">
        <v>205</v>
      </c>
      <c r="E6" s="29">
        <v>220</v>
      </c>
      <c r="F6" s="29">
        <v>179</v>
      </c>
      <c r="G6" s="30">
        <f>D6-C6</f>
        <v>4</v>
      </c>
      <c r="H6" s="31">
        <f t="shared" si="1"/>
        <v>19</v>
      </c>
      <c r="I6" s="31">
        <f t="shared" si="2"/>
        <v>-22</v>
      </c>
      <c r="J6" s="32">
        <f t="shared" si="3"/>
        <v>4</v>
      </c>
      <c r="K6" s="32">
        <f t="shared" si="0"/>
        <v>19</v>
      </c>
      <c r="L6" s="32">
        <f t="shared" si="0"/>
        <v>22</v>
      </c>
      <c r="M6" s="33">
        <f t="shared" si="4"/>
        <v>16</v>
      </c>
      <c r="N6" s="33">
        <f t="shared" si="4"/>
        <v>361</v>
      </c>
      <c r="O6" s="33">
        <f t="shared" si="4"/>
        <v>484</v>
      </c>
      <c r="P6" s="1"/>
      <c r="Q6" s="1"/>
    </row>
    <row r="7" spans="2:17">
      <c r="B7" s="24">
        <v>4</v>
      </c>
      <c r="C7" s="28">
        <v>196</v>
      </c>
      <c r="D7" s="29">
        <v>207</v>
      </c>
      <c r="E7" s="29">
        <v>219</v>
      </c>
      <c r="F7" s="29">
        <v>182</v>
      </c>
      <c r="G7" s="30">
        <f>D7-C7</f>
        <v>11</v>
      </c>
      <c r="H7" s="31">
        <f t="shared" si="1"/>
        <v>23</v>
      </c>
      <c r="I7" s="31">
        <f t="shared" si="2"/>
        <v>-14</v>
      </c>
      <c r="J7" s="32">
        <f t="shared" si="3"/>
        <v>11</v>
      </c>
      <c r="K7" s="32">
        <f t="shared" si="0"/>
        <v>23</v>
      </c>
      <c r="L7" s="32">
        <f t="shared" si="0"/>
        <v>14</v>
      </c>
      <c r="M7" s="33">
        <f t="shared" si="4"/>
        <v>121</v>
      </c>
      <c r="N7" s="33">
        <f t="shared" si="4"/>
        <v>529</v>
      </c>
      <c r="O7" s="33">
        <f t="shared" si="4"/>
        <v>196</v>
      </c>
      <c r="P7" s="1"/>
      <c r="Q7" s="1"/>
    </row>
    <row r="8" spans="2:17">
      <c r="B8" s="24">
        <v>5</v>
      </c>
      <c r="C8" s="28">
        <v>200</v>
      </c>
      <c r="D8" s="29">
        <v>209</v>
      </c>
      <c r="E8" s="29">
        <v>221</v>
      </c>
      <c r="F8" s="29">
        <v>183</v>
      </c>
      <c r="G8" s="30">
        <f t="shared" ref="G8:G23" si="5">D8-C8</f>
        <v>9</v>
      </c>
      <c r="H8" s="31">
        <f t="shared" si="1"/>
        <v>21</v>
      </c>
      <c r="I8" s="31">
        <f t="shared" si="2"/>
        <v>-17</v>
      </c>
      <c r="J8" s="32">
        <f t="shared" si="3"/>
        <v>9</v>
      </c>
      <c r="K8" s="32">
        <f t="shared" si="0"/>
        <v>21</v>
      </c>
      <c r="L8" s="32">
        <f t="shared" si="0"/>
        <v>17</v>
      </c>
      <c r="M8" s="33">
        <f t="shared" si="4"/>
        <v>81</v>
      </c>
      <c r="N8" s="33">
        <f t="shared" si="4"/>
        <v>441</v>
      </c>
      <c r="O8" s="33">
        <f t="shared" si="4"/>
        <v>289</v>
      </c>
      <c r="P8" s="1"/>
      <c r="Q8" s="1"/>
    </row>
    <row r="9" spans="2:17">
      <c r="B9" s="24">
        <v>6</v>
      </c>
      <c r="C9" s="28">
        <v>203</v>
      </c>
      <c r="D9" s="29">
        <v>211</v>
      </c>
      <c r="E9" s="29">
        <v>219</v>
      </c>
      <c r="F9" s="29">
        <v>181</v>
      </c>
      <c r="G9" s="30">
        <f t="shared" si="5"/>
        <v>8</v>
      </c>
      <c r="H9" s="31">
        <f t="shared" si="1"/>
        <v>16</v>
      </c>
      <c r="I9" s="31">
        <f t="shared" si="2"/>
        <v>-22</v>
      </c>
      <c r="J9" s="32">
        <f t="shared" si="3"/>
        <v>8</v>
      </c>
      <c r="K9" s="32">
        <f t="shared" si="0"/>
        <v>16</v>
      </c>
      <c r="L9" s="32">
        <f t="shared" si="0"/>
        <v>22</v>
      </c>
      <c r="M9" s="33">
        <f t="shared" si="4"/>
        <v>64</v>
      </c>
      <c r="N9" s="33">
        <f t="shared" si="4"/>
        <v>256</v>
      </c>
      <c r="O9" s="33">
        <f t="shared" si="4"/>
        <v>484</v>
      </c>
      <c r="P9" s="1"/>
      <c r="Q9" s="1"/>
    </row>
    <row r="10" spans="2:17">
      <c r="B10" s="24">
        <v>7</v>
      </c>
      <c r="C10" s="28">
        <v>210</v>
      </c>
      <c r="D10" s="29">
        <v>213</v>
      </c>
      <c r="E10" s="29">
        <v>218</v>
      </c>
      <c r="F10" s="29">
        <v>186</v>
      </c>
      <c r="G10" s="30">
        <f t="shared" si="5"/>
        <v>3</v>
      </c>
      <c r="H10" s="31">
        <f t="shared" si="1"/>
        <v>8</v>
      </c>
      <c r="I10" s="31">
        <f t="shared" si="2"/>
        <v>-24</v>
      </c>
      <c r="J10" s="32">
        <f t="shared" si="3"/>
        <v>3</v>
      </c>
      <c r="K10" s="32">
        <f t="shared" si="0"/>
        <v>8</v>
      </c>
      <c r="L10" s="32">
        <f t="shared" si="0"/>
        <v>24</v>
      </c>
      <c r="M10" s="33">
        <f t="shared" si="4"/>
        <v>9</v>
      </c>
      <c r="N10" s="33">
        <f t="shared" si="4"/>
        <v>64</v>
      </c>
      <c r="O10" s="33">
        <f t="shared" si="4"/>
        <v>576</v>
      </c>
      <c r="P10" s="1"/>
      <c r="Q10" s="1"/>
    </row>
    <row r="11" spans="2:17">
      <c r="B11" s="24">
        <v>8</v>
      </c>
      <c r="C11" s="28">
        <v>220</v>
      </c>
      <c r="D11" s="29">
        <v>215</v>
      </c>
      <c r="E11" s="29">
        <v>220</v>
      </c>
      <c r="F11" s="29">
        <v>188</v>
      </c>
      <c r="G11" s="30">
        <f>D11-C11</f>
        <v>-5</v>
      </c>
      <c r="H11" s="31">
        <f t="shared" si="1"/>
        <v>0</v>
      </c>
      <c r="I11" s="31">
        <f t="shared" si="2"/>
        <v>-32</v>
      </c>
      <c r="J11" s="32">
        <f t="shared" si="3"/>
        <v>5</v>
      </c>
      <c r="K11" s="32">
        <f t="shared" si="0"/>
        <v>0</v>
      </c>
      <c r="L11" s="32">
        <f t="shared" si="0"/>
        <v>32</v>
      </c>
      <c r="M11" s="33">
        <f t="shared" si="4"/>
        <v>25</v>
      </c>
      <c r="N11" s="33">
        <f t="shared" si="4"/>
        <v>0</v>
      </c>
      <c r="O11" s="33">
        <f t="shared" si="4"/>
        <v>1024</v>
      </c>
      <c r="P11" s="1"/>
      <c r="Q11" s="1"/>
    </row>
    <row r="12" spans="2:17">
      <c r="B12" s="24">
        <v>9</v>
      </c>
      <c r="C12" s="28">
        <v>226</v>
      </c>
      <c r="D12" s="29">
        <v>217</v>
      </c>
      <c r="E12" s="29">
        <v>219</v>
      </c>
      <c r="F12" s="29">
        <v>198</v>
      </c>
      <c r="G12" s="30">
        <f t="shared" si="5"/>
        <v>-9</v>
      </c>
      <c r="H12" s="31">
        <f t="shared" si="1"/>
        <v>-7</v>
      </c>
      <c r="I12" s="31">
        <f t="shared" si="2"/>
        <v>-28</v>
      </c>
      <c r="J12" s="32">
        <f t="shared" si="3"/>
        <v>9</v>
      </c>
      <c r="K12" s="32">
        <f t="shared" si="0"/>
        <v>7</v>
      </c>
      <c r="L12" s="32">
        <f t="shared" si="0"/>
        <v>28</v>
      </c>
      <c r="M12" s="33">
        <f t="shared" si="4"/>
        <v>81</v>
      </c>
      <c r="N12" s="33">
        <f t="shared" si="4"/>
        <v>49</v>
      </c>
      <c r="O12" s="33">
        <f t="shared" si="4"/>
        <v>784</v>
      </c>
      <c r="P12" s="1"/>
      <c r="Q12" s="1"/>
    </row>
    <row r="13" spans="2:17">
      <c r="B13" s="24">
        <v>10</v>
      </c>
      <c r="C13" s="28">
        <v>234</v>
      </c>
      <c r="D13" s="29">
        <v>219</v>
      </c>
      <c r="E13" s="29">
        <v>220</v>
      </c>
      <c r="F13" s="29">
        <v>213</v>
      </c>
      <c r="G13" s="30">
        <f t="shared" si="5"/>
        <v>-15</v>
      </c>
      <c r="H13" s="31">
        <f t="shared" si="1"/>
        <v>-14</v>
      </c>
      <c r="I13" s="31">
        <f t="shared" si="2"/>
        <v>-21</v>
      </c>
      <c r="J13" s="32">
        <f t="shared" si="3"/>
        <v>15</v>
      </c>
      <c r="K13" s="32">
        <f t="shared" si="0"/>
        <v>14</v>
      </c>
      <c r="L13" s="32">
        <f t="shared" si="0"/>
        <v>21</v>
      </c>
      <c r="M13" s="33">
        <f t="shared" si="4"/>
        <v>225</v>
      </c>
      <c r="N13" s="33">
        <f t="shared" si="4"/>
        <v>196</v>
      </c>
      <c r="O13" s="33">
        <f t="shared" si="4"/>
        <v>441</v>
      </c>
      <c r="P13" s="1"/>
      <c r="Q13" s="1"/>
    </row>
    <row r="14" spans="2:17">
      <c r="B14" s="24">
        <v>11</v>
      </c>
      <c r="C14" s="28">
        <v>231</v>
      </c>
      <c r="D14" s="29">
        <v>221</v>
      </c>
      <c r="E14" s="29">
        <v>222</v>
      </c>
      <c r="F14" s="29">
        <v>219</v>
      </c>
      <c r="G14" s="30">
        <f t="shared" si="5"/>
        <v>-10</v>
      </c>
      <c r="H14" s="31">
        <f t="shared" si="1"/>
        <v>-9</v>
      </c>
      <c r="I14" s="31">
        <f t="shared" si="2"/>
        <v>-12</v>
      </c>
      <c r="J14" s="32">
        <f t="shared" si="3"/>
        <v>10</v>
      </c>
      <c r="K14" s="32">
        <f t="shared" si="0"/>
        <v>9</v>
      </c>
      <c r="L14" s="32">
        <f t="shared" si="0"/>
        <v>12</v>
      </c>
      <c r="M14" s="33">
        <f t="shared" si="4"/>
        <v>100</v>
      </c>
      <c r="N14" s="33">
        <f t="shared" si="4"/>
        <v>81</v>
      </c>
      <c r="O14" s="33">
        <f t="shared" si="4"/>
        <v>144</v>
      </c>
      <c r="P14" s="1"/>
      <c r="Q14" s="1"/>
    </row>
    <row r="15" spans="2:17">
      <c r="B15" s="24">
        <v>12</v>
      </c>
      <c r="C15" s="28">
        <v>237</v>
      </c>
      <c r="D15" s="29">
        <v>223</v>
      </c>
      <c r="E15" s="29">
        <v>223</v>
      </c>
      <c r="F15" s="29">
        <v>218</v>
      </c>
      <c r="G15" s="30">
        <f t="shared" si="5"/>
        <v>-14</v>
      </c>
      <c r="H15" s="31">
        <f t="shared" si="1"/>
        <v>-14</v>
      </c>
      <c r="I15" s="31">
        <f t="shared" si="2"/>
        <v>-19</v>
      </c>
      <c r="J15" s="32">
        <f t="shared" si="3"/>
        <v>14</v>
      </c>
      <c r="K15" s="32">
        <f t="shared" si="0"/>
        <v>14</v>
      </c>
      <c r="L15" s="32">
        <f t="shared" si="0"/>
        <v>19</v>
      </c>
      <c r="M15" s="33">
        <f t="shared" si="4"/>
        <v>196</v>
      </c>
      <c r="N15" s="33">
        <f t="shared" si="4"/>
        <v>196</v>
      </c>
      <c r="O15" s="33">
        <f t="shared" si="4"/>
        <v>361</v>
      </c>
      <c r="P15" s="1"/>
      <c r="Q15" s="1"/>
    </row>
    <row r="16" spans="2:17">
      <c r="B16" s="24">
        <v>13</v>
      </c>
      <c r="C16" s="28">
        <v>238</v>
      </c>
      <c r="D16" s="29">
        <v>225</v>
      </c>
      <c r="E16" s="29">
        <v>224</v>
      </c>
      <c r="F16" s="29">
        <v>216</v>
      </c>
      <c r="G16" s="30">
        <f t="shared" si="5"/>
        <v>-13</v>
      </c>
      <c r="H16" s="31">
        <f t="shared" si="1"/>
        <v>-14</v>
      </c>
      <c r="I16" s="31">
        <f t="shared" si="2"/>
        <v>-22</v>
      </c>
      <c r="J16" s="32">
        <f t="shared" si="3"/>
        <v>13</v>
      </c>
      <c r="K16" s="32">
        <f t="shared" si="0"/>
        <v>14</v>
      </c>
      <c r="L16" s="32">
        <f t="shared" si="0"/>
        <v>22</v>
      </c>
      <c r="M16" s="33">
        <f t="shared" si="4"/>
        <v>169</v>
      </c>
      <c r="N16" s="33">
        <f t="shared" si="4"/>
        <v>196</v>
      </c>
      <c r="O16" s="33">
        <f t="shared" si="4"/>
        <v>484</v>
      </c>
      <c r="P16" s="1"/>
      <c r="Q16" s="1"/>
    </row>
    <row r="17" spans="2:17">
      <c r="B17" s="24">
        <v>14</v>
      </c>
      <c r="C17" s="28">
        <v>233</v>
      </c>
      <c r="D17" s="29">
        <v>227</v>
      </c>
      <c r="E17" s="29">
        <v>220</v>
      </c>
      <c r="F17" s="29">
        <v>218</v>
      </c>
      <c r="G17" s="30">
        <f t="shared" si="5"/>
        <v>-6</v>
      </c>
      <c r="H17" s="31">
        <f t="shared" si="1"/>
        <v>-13</v>
      </c>
      <c r="I17" s="31">
        <f t="shared" si="2"/>
        <v>-15</v>
      </c>
      <c r="J17" s="32">
        <f t="shared" si="3"/>
        <v>6</v>
      </c>
      <c r="K17" s="32">
        <f t="shared" si="0"/>
        <v>13</v>
      </c>
      <c r="L17" s="32">
        <f t="shared" si="0"/>
        <v>15</v>
      </c>
      <c r="M17" s="33">
        <f t="shared" si="4"/>
        <v>36</v>
      </c>
      <c r="N17" s="33">
        <f t="shared" si="4"/>
        <v>169</v>
      </c>
      <c r="O17" s="33">
        <f t="shared" si="4"/>
        <v>225</v>
      </c>
      <c r="P17" s="1"/>
      <c r="Q17" s="1"/>
    </row>
    <row r="18" spans="2:17">
      <c r="B18" s="24">
        <v>15</v>
      </c>
      <c r="C18" s="28">
        <v>235</v>
      </c>
      <c r="D18" s="29">
        <v>229</v>
      </c>
      <c r="E18" s="29">
        <v>221</v>
      </c>
      <c r="F18" s="29">
        <v>217</v>
      </c>
      <c r="G18" s="30">
        <f t="shared" si="5"/>
        <v>-6</v>
      </c>
      <c r="H18" s="31">
        <f t="shared" si="1"/>
        <v>-14</v>
      </c>
      <c r="I18" s="31">
        <f t="shared" si="2"/>
        <v>-18</v>
      </c>
      <c r="J18" s="32">
        <f t="shared" si="3"/>
        <v>6</v>
      </c>
      <c r="K18" s="32">
        <f t="shared" si="0"/>
        <v>14</v>
      </c>
      <c r="L18" s="32">
        <f t="shared" si="0"/>
        <v>18</v>
      </c>
      <c r="M18" s="33">
        <f t="shared" si="4"/>
        <v>36</v>
      </c>
      <c r="N18" s="33">
        <f t="shared" si="4"/>
        <v>196</v>
      </c>
      <c r="O18" s="33">
        <f t="shared" si="4"/>
        <v>324</v>
      </c>
      <c r="P18" s="1"/>
      <c r="Q18" s="1"/>
    </row>
    <row r="19" spans="2:17">
      <c r="B19" s="24">
        <v>16</v>
      </c>
      <c r="C19" s="28">
        <v>228</v>
      </c>
      <c r="D19" s="29">
        <v>231</v>
      </c>
      <c r="E19" s="29">
        <v>219</v>
      </c>
      <c r="F19" s="29">
        <v>215</v>
      </c>
      <c r="G19" s="30">
        <f t="shared" si="5"/>
        <v>3</v>
      </c>
      <c r="H19" s="31">
        <f t="shared" si="1"/>
        <v>-9</v>
      </c>
      <c r="I19" s="31">
        <f t="shared" si="2"/>
        <v>-13</v>
      </c>
      <c r="J19" s="32">
        <f t="shared" si="3"/>
        <v>3</v>
      </c>
      <c r="K19" s="32">
        <f t="shared" si="0"/>
        <v>9</v>
      </c>
      <c r="L19" s="32">
        <f t="shared" si="0"/>
        <v>13</v>
      </c>
      <c r="M19" s="33">
        <f t="shared" si="4"/>
        <v>9</v>
      </c>
      <c r="N19" s="33">
        <f t="shared" si="4"/>
        <v>81</v>
      </c>
      <c r="O19" s="33">
        <f t="shared" si="4"/>
        <v>169</v>
      </c>
      <c r="P19" s="1"/>
      <c r="Q19" s="1"/>
    </row>
    <row r="20" spans="2:17">
      <c r="B20" s="24">
        <v>17</v>
      </c>
      <c r="C20" s="28">
        <v>223</v>
      </c>
      <c r="D20" s="29">
        <v>233</v>
      </c>
      <c r="E20" s="29">
        <v>219</v>
      </c>
      <c r="F20" s="29">
        <v>214</v>
      </c>
      <c r="G20" s="30">
        <f t="shared" si="5"/>
        <v>10</v>
      </c>
      <c r="H20" s="31">
        <f t="shared" si="1"/>
        <v>-4</v>
      </c>
      <c r="I20" s="31">
        <f t="shared" si="2"/>
        <v>-9</v>
      </c>
      <c r="J20" s="32">
        <f t="shared" si="3"/>
        <v>10</v>
      </c>
      <c r="K20" s="32">
        <f t="shared" si="3"/>
        <v>4</v>
      </c>
      <c r="L20" s="32">
        <f t="shared" si="3"/>
        <v>9</v>
      </c>
      <c r="M20" s="33">
        <f t="shared" si="4"/>
        <v>100</v>
      </c>
      <c r="N20" s="33">
        <f t="shared" si="4"/>
        <v>16</v>
      </c>
      <c r="O20" s="33">
        <f t="shared" si="4"/>
        <v>81</v>
      </c>
      <c r="P20" s="1"/>
      <c r="Q20" s="1"/>
    </row>
    <row r="21" spans="2:17">
      <c r="B21" s="24">
        <v>18</v>
      </c>
      <c r="C21" s="28">
        <v>230</v>
      </c>
      <c r="D21" s="29">
        <v>235</v>
      </c>
      <c r="E21" s="29">
        <v>223</v>
      </c>
      <c r="F21" s="29">
        <v>214</v>
      </c>
      <c r="G21" s="30">
        <f t="shared" si="5"/>
        <v>5</v>
      </c>
      <c r="H21" s="31">
        <f t="shared" si="1"/>
        <v>-7</v>
      </c>
      <c r="I21" s="31">
        <f t="shared" si="2"/>
        <v>-16</v>
      </c>
      <c r="J21" s="32">
        <f t="shared" si="3"/>
        <v>5</v>
      </c>
      <c r="K21" s="32">
        <f t="shared" si="3"/>
        <v>7</v>
      </c>
      <c r="L21" s="32">
        <f t="shared" si="3"/>
        <v>16</v>
      </c>
      <c r="M21" s="33">
        <f t="shared" si="4"/>
        <v>25</v>
      </c>
      <c r="N21" s="33">
        <f t="shared" si="4"/>
        <v>49</v>
      </c>
      <c r="O21" s="33">
        <f t="shared" si="4"/>
        <v>256</v>
      </c>
      <c r="P21" s="1"/>
      <c r="Q21" s="1"/>
    </row>
    <row r="22" spans="2:17">
      <c r="B22" s="24">
        <v>19</v>
      </c>
      <c r="C22" s="28">
        <v>233</v>
      </c>
      <c r="D22" s="29">
        <v>237</v>
      </c>
      <c r="E22" s="29">
        <v>222</v>
      </c>
      <c r="F22" s="29">
        <v>210</v>
      </c>
      <c r="G22" s="30">
        <f t="shared" si="5"/>
        <v>4</v>
      </c>
      <c r="H22" s="31">
        <f t="shared" si="1"/>
        <v>-11</v>
      </c>
      <c r="I22" s="31">
        <f t="shared" si="2"/>
        <v>-23</v>
      </c>
      <c r="J22" s="32">
        <f t="shared" si="3"/>
        <v>4</v>
      </c>
      <c r="K22" s="32">
        <f t="shared" si="3"/>
        <v>11</v>
      </c>
      <c r="L22" s="32">
        <f t="shared" si="3"/>
        <v>23</v>
      </c>
      <c r="M22" s="33">
        <f t="shared" si="4"/>
        <v>16</v>
      </c>
      <c r="N22" s="33">
        <f t="shared" si="4"/>
        <v>121</v>
      </c>
      <c r="O22" s="33">
        <f t="shared" si="4"/>
        <v>529</v>
      </c>
      <c r="P22" s="1"/>
      <c r="Q22" s="1"/>
    </row>
    <row r="23" spans="2:17">
      <c r="B23" s="24">
        <v>20</v>
      </c>
      <c r="C23" s="28">
        <v>226</v>
      </c>
      <c r="D23" s="29">
        <v>239</v>
      </c>
      <c r="E23" s="29">
        <v>220</v>
      </c>
      <c r="F23" s="29">
        <v>212</v>
      </c>
      <c r="G23" s="30">
        <f t="shared" si="5"/>
        <v>13</v>
      </c>
      <c r="H23" s="31">
        <f t="shared" si="1"/>
        <v>-6</v>
      </c>
      <c r="I23" s="31">
        <f t="shared" si="2"/>
        <v>-14</v>
      </c>
      <c r="J23" s="32">
        <f t="shared" si="3"/>
        <v>13</v>
      </c>
      <c r="K23" s="32">
        <f t="shared" si="3"/>
        <v>6</v>
      </c>
      <c r="L23" s="32">
        <f t="shared" si="3"/>
        <v>14</v>
      </c>
      <c r="M23" s="33">
        <f>G23^2</f>
        <v>169</v>
      </c>
      <c r="N23" s="33">
        <f t="shared" ref="N23:O23" si="6">H23^2</f>
        <v>36</v>
      </c>
      <c r="O23" s="33">
        <f t="shared" si="6"/>
        <v>196</v>
      </c>
      <c r="P23" s="1"/>
      <c r="Q23" s="1"/>
    </row>
    <row r="24" spans="2:17">
      <c r="B24" s="23"/>
      <c r="D24" s="23"/>
      <c r="E24" s="23"/>
      <c r="F24" s="23"/>
      <c r="G24" s="23"/>
      <c r="I24" s="23"/>
      <c r="J24" s="24" t="s">
        <v>62</v>
      </c>
      <c r="K24" s="24" t="s">
        <v>63</v>
      </c>
      <c r="L24" s="24" t="s">
        <v>64</v>
      </c>
      <c r="Q24" s="1"/>
    </row>
    <row r="25" spans="2:17">
      <c r="B25" s="23"/>
      <c r="C25" s="23"/>
      <c r="D25" s="23"/>
      <c r="E25" s="23"/>
      <c r="G25" s="8" t="s">
        <v>87</v>
      </c>
      <c r="I25" s="35"/>
      <c r="J25" s="36">
        <f>AVERAGE(J4:J23)</f>
        <v>7.7</v>
      </c>
      <c r="K25" s="36">
        <f t="shared" ref="K25" si="7">AVERAGE(K4:K23)</f>
        <v>12.25</v>
      </c>
      <c r="L25" s="119">
        <f>AVERAGE(L4:L23)</f>
        <v>19</v>
      </c>
      <c r="Q25" s="8"/>
    </row>
    <row r="26" spans="2:17">
      <c r="B26" s="23"/>
      <c r="C26" s="23"/>
      <c r="D26" s="23"/>
      <c r="E26" s="23"/>
      <c r="G26" s="8" t="s">
        <v>86</v>
      </c>
      <c r="J26" s="37">
        <f>AVERAGE(M4:M23)</f>
        <v>75.2</v>
      </c>
      <c r="K26" s="37">
        <f>AVERAGE(N4:N23)</f>
        <v>185.15</v>
      </c>
      <c r="L26" s="37">
        <f>AVERAGE(O4:O23)</f>
        <v>390.6</v>
      </c>
      <c r="Q26" s="8"/>
    </row>
    <row r="27" spans="2:17">
      <c r="B27" s="23"/>
      <c r="C27" s="23"/>
      <c r="D27" s="23"/>
      <c r="E27" s="23"/>
      <c r="F27" s="23"/>
      <c r="G27" s="8" t="s">
        <v>66</v>
      </c>
      <c r="H27" s="8"/>
      <c r="I27" s="8"/>
      <c r="J27" s="39">
        <f>SQRT(J26)</f>
        <v>8.6717933554715199</v>
      </c>
      <c r="K27" s="39">
        <f t="shared" ref="K27:L27" si="8">SQRT(K26)</f>
        <v>13.606983501129116</v>
      </c>
      <c r="L27" s="39">
        <f t="shared" si="8"/>
        <v>19.763602910400724</v>
      </c>
    </row>
    <row r="32" spans="2:17">
      <c r="B32" s="8" t="s">
        <v>95</v>
      </c>
    </row>
    <row r="33" spans="2:26">
      <c r="B33" s="1"/>
      <c r="C33" s="1"/>
      <c r="E33" s="1"/>
      <c r="F33" s="1"/>
      <c r="M33" s="120" t="s">
        <v>213</v>
      </c>
      <c r="N33" s="120"/>
      <c r="O33" s="120"/>
    </row>
    <row r="34" spans="2:26">
      <c r="B34" s="1"/>
      <c r="C34" s="1"/>
      <c r="D34" s="7" t="s">
        <v>92</v>
      </c>
      <c r="E34" s="7" t="s">
        <v>72</v>
      </c>
      <c r="F34" s="7" t="s">
        <v>93</v>
      </c>
      <c r="G34" s="7" t="s">
        <v>94</v>
      </c>
      <c r="J34" s="24" t="s">
        <v>20</v>
      </c>
      <c r="K34" s="24" t="s">
        <v>64</v>
      </c>
      <c r="L34" t="s">
        <v>65</v>
      </c>
      <c r="M34" t="s">
        <v>210</v>
      </c>
      <c r="N34" t="s">
        <v>211</v>
      </c>
      <c r="O34" t="s">
        <v>72</v>
      </c>
      <c r="P34" s="7" t="s">
        <v>93</v>
      </c>
      <c r="Q34" s="7" t="s">
        <v>94</v>
      </c>
      <c r="S34" s="24" t="s">
        <v>20</v>
      </c>
      <c r="T34" s="24" t="s">
        <v>63</v>
      </c>
      <c r="U34" t="s">
        <v>65</v>
      </c>
      <c r="V34" t="s">
        <v>210</v>
      </c>
      <c r="W34" t="s">
        <v>212</v>
      </c>
      <c r="X34" t="s">
        <v>72</v>
      </c>
      <c r="Y34" s="7" t="s">
        <v>93</v>
      </c>
      <c r="Z34" s="7" t="s">
        <v>94</v>
      </c>
    </row>
    <row r="35" spans="2:26">
      <c r="B35" s="1"/>
      <c r="C35" s="1"/>
      <c r="D35" s="1">
        <v>21</v>
      </c>
      <c r="E35" s="1">
        <f t="shared" ref="E35:E54" si="9">D35-$D$55</f>
        <v>2</v>
      </c>
      <c r="F35" s="1">
        <f>ABS(E35)</f>
        <v>2</v>
      </c>
      <c r="G35" s="1">
        <f>F35^2</f>
        <v>4</v>
      </c>
      <c r="J35" s="28">
        <v>202</v>
      </c>
      <c r="K35" s="29">
        <v>181</v>
      </c>
      <c r="L35">
        <v>19</v>
      </c>
      <c r="M35">
        <f>IF(J35-K35&gt;0,L35,-L35)</f>
        <v>19</v>
      </c>
      <c r="N35" s="5">
        <f>K35+M35</f>
        <v>200</v>
      </c>
      <c r="O35">
        <f t="shared" ref="O35:O54" si="10">J35-N35</f>
        <v>2</v>
      </c>
      <c r="P35" s="1">
        <f>ABS(O35)</f>
        <v>2</v>
      </c>
      <c r="Q35" s="1">
        <f>P35^2</f>
        <v>4</v>
      </c>
      <c r="S35" s="28">
        <v>202</v>
      </c>
      <c r="T35" s="29">
        <v>217</v>
      </c>
      <c r="U35">
        <v>12.25</v>
      </c>
      <c r="V35">
        <f>IF(S35-T35&gt;0,U35,-U35)</f>
        <v>-12.25</v>
      </c>
      <c r="W35" s="5">
        <f>T35+V35</f>
        <v>204.75</v>
      </c>
      <c r="X35">
        <f t="shared" ref="X35:X54" si="11">S35-W35</f>
        <v>-2.75</v>
      </c>
      <c r="Y35" s="1">
        <f>ABS(X35)</f>
        <v>2.75</v>
      </c>
      <c r="Z35" s="1">
        <f>Y35^2</f>
        <v>7.5625</v>
      </c>
    </row>
    <row r="36" spans="2:26">
      <c r="B36" s="1"/>
      <c r="C36" s="1"/>
      <c r="D36" s="1">
        <v>18</v>
      </c>
      <c r="E36" s="1">
        <f t="shared" si="9"/>
        <v>-1</v>
      </c>
      <c r="F36" s="1">
        <f t="shared" ref="F36:F54" si="12">ABS(E36)</f>
        <v>1</v>
      </c>
      <c r="G36" s="1">
        <f t="shared" ref="G36:G54" si="13">F36^2</f>
        <v>1</v>
      </c>
      <c r="J36" s="28">
        <v>198</v>
      </c>
      <c r="K36" s="29">
        <v>180</v>
      </c>
      <c r="L36">
        <v>19</v>
      </c>
      <c r="M36">
        <f t="shared" ref="M36:M54" si="14">IF(J36-K36&gt;0,L36,-L36)</f>
        <v>19</v>
      </c>
      <c r="N36" s="5">
        <f t="shared" ref="N36:N54" si="15">K36+M36</f>
        <v>199</v>
      </c>
      <c r="O36">
        <f t="shared" si="10"/>
        <v>-1</v>
      </c>
      <c r="P36" s="1">
        <f t="shared" ref="P36:P54" si="16">ABS(O36)</f>
        <v>1</v>
      </c>
      <c r="Q36" s="1">
        <f t="shared" ref="Q36:Q54" si="17">P36^2</f>
        <v>1</v>
      </c>
      <c r="S36" s="28">
        <v>198</v>
      </c>
      <c r="T36" s="29">
        <v>219</v>
      </c>
      <c r="U36">
        <v>12.25</v>
      </c>
      <c r="V36">
        <f t="shared" ref="V36:V54" si="18">IF(S36-T36&gt;0,U36,-U36)</f>
        <v>-12.25</v>
      </c>
      <c r="W36" s="5">
        <f>T36+V36</f>
        <v>206.75</v>
      </c>
      <c r="X36">
        <f t="shared" si="11"/>
        <v>-8.75</v>
      </c>
      <c r="Y36" s="1">
        <f t="shared" ref="Y36:Y54" si="19">ABS(X36)</f>
        <v>8.75</v>
      </c>
      <c r="Z36" s="1">
        <f t="shared" ref="Z36:Z54" si="20">Y36^2</f>
        <v>76.5625</v>
      </c>
    </row>
    <row r="37" spans="2:26">
      <c r="B37" s="1"/>
      <c r="C37" s="1"/>
      <c r="D37" s="1">
        <v>22</v>
      </c>
      <c r="E37" s="1">
        <f t="shared" si="9"/>
        <v>3</v>
      </c>
      <c r="F37" s="1">
        <f t="shared" si="12"/>
        <v>3</v>
      </c>
      <c r="G37" s="1">
        <f t="shared" si="13"/>
        <v>9</v>
      </c>
      <c r="J37" s="28">
        <v>201</v>
      </c>
      <c r="K37" s="29">
        <v>179</v>
      </c>
      <c r="L37">
        <v>19</v>
      </c>
      <c r="M37">
        <f t="shared" si="14"/>
        <v>19</v>
      </c>
      <c r="N37" s="5">
        <f t="shared" si="15"/>
        <v>198</v>
      </c>
      <c r="O37">
        <f t="shared" si="10"/>
        <v>3</v>
      </c>
      <c r="P37" s="1">
        <f t="shared" si="16"/>
        <v>3</v>
      </c>
      <c r="Q37" s="1">
        <f t="shared" si="17"/>
        <v>9</v>
      </c>
      <c r="S37" s="28">
        <v>201</v>
      </c>
      <c r="T37" s="29">
        <v>220</v>
      </c>
      <c r="U37">
        <v>12.25</v>
      </c>
      <c r="V37">
        <f t="shared" si="18"/>
        <v>-12.25</v>
      </c>
      <c r="W37" s="5">
        <f t="shared" ref="W37:W54" si="21">T37+V37</f>
        <v>207.75</v>
      </c>
      <c r="X37">
        <f t="shared" si="11"/>
        <v>-6.75</v>
      </c>
      <c r="Y37" s="1">
        <f t="shared" si="19"/>
        <v>6.75</v>
      </c>
      <c r="Z37" s="1">
        <f t="shared" si="20"/>
        <v>45.5625</v>
      </c>
    </row>
    <row r="38" spans="2:26">
      <c r="B38" s="1"/>
      <c r="C38" s="1"/>
      <c r="D38" s="1">
        <v>14</v>
      </c>
      <c r="E38" s="1">
        <f t="shared" si="9"/>
        <v>-5</v>
      </c>
      <c r="F38" s="1">
        <f t="shared" si="12"/>
        <v>5</v>
      </c>
      <c r="G38" s="1">
        <f t="shared" si="13"/>
        <v>25</v>
      </c>
      <c r="J38" s="28">
        <v>196</v>
      </c>
      <c r="K38" s="29">
        <v>182</v>
      </c>
      <c r="L38">
        <v>19</v>
      </c>
      <c r="M38">
        <f t="shared" si="14"/>
        <v>19</v>
      </c>
      <c r="N38" s="5">
        <f t="shared" si="15"/>
        <v>201</v>
      </c>
      <c r="O38">
        <f t="shared" si="10"/>
        <v>-5</v>
      </c>
      <c r="P38" s="1">
        <f t="shared" si="16"/>
        <v>5</v>
      </c>
      <c r="Q38" s="1">
        <f t="shared" si="17"/>
        <v>25</v>
      </c>
      <c r="S38" s="28">
        <v>196</v>
      </c>
      <c r="T38" s="29">
        <v>219</v>
      </c>
      <c r="U38">
        <v>12.25</v>
      </c>
      <c r="V38">
        <f t="shared" si="18"/>
        <v>-12.25</v>
      </c>
      <c r="W38" s="5">
        <f t="shared" si="21"/>
        <v>206.75</v>
      </c>
      <c r="X38">
        <f t="shared" si="11"/>
        <v>-10.75</v>
      </c>
      <c r="Y38" s="1">
        <f t="shared" si="19"/>
        <v>10.75</v>
      </c>
      <c r="Z38" s="1">
        <f t="shared" si="20"/>
        <v>115.5625</v>
      </c>
    </row>
    <row r="39" spans="2:26">
      <c r="B39" s="1"/>
      <c r="C39" s="1"/>
      <c r="D39" s="1">
        <v>17</v>
      </c>
      <c r="E39" s="1">
        <f t="shared" si="9"/>
        <v>-2</v>
      </c>
      <c r="F39" s="1">
        <f t="shared" si="12"/>
        <v>2</v>
      </c>
      <c r="G39" s="1">
        <f t="shared" si="13"/>
        <v>4</v>
      </c>
      <c r="J39" s="28">
        <v>200</v>
      </c>
      <c r="K39" s="29">
        <v>183</v>
      </c>
      <c r="L39">
        <v>19</v>
      </c>
      <c r="M39">
        <f t="shared" si="14"/>
        <v>19</v>
      </c>
      <c r="N39" s="5">
        <f t="shared" si="15"/>
        <v>202</v>
      </c>
      <c r="O39">
        <f t="shared" si="10"/>
        <v>-2</v>
      </c>
      <c r="P39" s="1">
        <f t="shared" si="16"/>
        <v>2</v>
      </c>
      <c r="Q39" s="1">
        <f t="shared" si="17"/>
        <v>4</v>
      </c>
      <c r="S39" s="28">
        <v>200</v>
      </c>
      <c r="T39" s="29">
        <v>221</v>
      </c>
      <c r="U39">
        <v>12.25</v>
      </c>
      <c r="V39">
        <f t="shared" si="18"/>
        <v>-12.25</v>
      </c>
      <c r="W39" s="5">
        <f t="shared" si="21"/>
        <v>208.75</v>
      </c>
      <c r="X39">
        <f t="shared" si="11"/>
        <v>-8.75</v>
      </c>
      <c r="Y39" s="1">
        <f t="shared" si="19"/>
        <v>8.75</v>
      </c>
      <c r="Z39" s="1">
        <f t="shared" si="20"/>
        <v>76.5625</v>
      </c>
    </row>
    <row r="40" spans="2:26">
      <c r="B40" s="1"/>
      <c r="C40" s="1"/>
      <c r="D40" s="1">
        <v>22</v>
      </c>
      <c r="E40" s="1">
        <f t="shared" si="9"/>
        <v>3</v>
      </c>
      <c r="F40" s="1">
        <f t="shared" si="12"/>
        <v>3</v>
      </c>
      <c r="G40" s="1">
        <f t="shared" si="13"/>
        <v>9</v>
      </c>
      <c r="J40" s="28">
        <v>203</v>
      </c>
      <c r="K40" s="29">
        <v>181</v>
      </c>
      <c r="L40">
        <v>19</v>
      </c>
      <c r="M40">
        <f t="shared" si="14"/>
        <v>19</v>
      </c>
      <c r="N40" s="5">
        <f t="shared" si="15"/>
        <v>200</v>
      </c>
      <c r="O40">
        <f t="shared" si="10"/>
        <v>3</v>
      </c>
      <c r="P40" s="1">
        <f t="shared" si="16"/>
        <v>3</v>
      </c>
      <c r="Q40" s="1">
        <f t="shared" si="17"/>
        <v>9</v>
      </c>
      <c r="S40" s="28">
        <v>203</v>
      </c>
      <c r="T40" s="29">
        <v>219</v>
      </c>
      <c r="U40">
        <v>12.25</v>
      </c>
      <c r="V40">
        <f t="shared" si="18"/>
        <v>-12.25</v>
      </c>
      <c r="W40" s="5">
        <f t="shared" si="21"/>
        <v>206.75</v>
      </c>
      <c r="X40">
        <f t="shared" si="11"/>
        <v>-3.75</v>
      </c>
      <c r="Y40" s="1">
        <f t="shared" si="19"/>
        <v>3.75</v>
      </c>
      <c r="Z40" s="1">
        <f t="shared" si="20"/>
        <v>14.0625</v>
      </c>
    </row>
    <row r="41" spans="2:26">
      <c r="B41" s="1"/>
      <c r="C41" s="1"/>
      <c r="D41" s="1">
        <v>24</v>
      </c>
      <c r="E41" s="1">
        <f t="shared" si="9"/>
        <v>5</v>
      </c>
      <c r="F41" s="1">
        <f t="shared" si="12"/>
        <v>5</v>
      </c>
      <c r="G41" s="1">
        <f t="shared" si="13"/>
        <v>25</v>
      </c>
      <c r="J41" s="28">
        <v>210</v>
      </c>
      <c r="K41" s="29">
        <v>186</v>
      </c>
      <c r="L41">
        <v>19</v>
      </c>
      <c r="M41">
        <f t="shared" si="14"/>
        <v>19</v>
      </c>
      <c r="N41" s="5">
        <f t="shared" si="15"/>
        <v>205</v>
      </c>
      <c r="O41">
        <f t="shared" si="10"/>
        <v>5</v>
      </c>
      <c r="P41" s="1">
        <f t="shared" si="16"/>
        <v>5</v>
      </c>
      <c r="Q41" s="1">
        <f t="shared" si="17"/>
        <v>25</v>
      </c>
      <c r="S41" s="28">
        <v>210</v>
      </c>
      <c r="T41" s="29">
        <v>218</v>
      </c>
      <c r="U41">
        <v>12.25</v>
      </c>
      <c r="V41">
        <f t="shared" si="18"/>
        <v>-12.25</v>
      </c>
      <c r="W41" s="5">
        <f t="shared" si="21"/>
        <v>205.75</v>
      </c>
      <c r="X41">
        <f t="shared" si="11"/>
        <v>4.25</v>
      </c>
      <c r="Y41" s="1">
        <f t="shared" si="19"/>
        <v>4.25</v>
      </c>
      <c r="Z41" s="1">
        <f t="shared" si="20"/>
        <v>18.0625</v>
      </c>
    </row>
    <row r="42" spans="2:26">
      <c r="B42" s="1"/>
      <c r="C42" s="1"/>
      <c r="D42" s="1">
        <v>32</v>
      </c>
      <c r="E42" s="1">
        <f t="shared" si="9"/>
        <v>13</v>
      </c>
      <c r="F42" s="1">
        <f t="shared" si="12"/>
        <v>13</v>
      </c>
      <c r="G42" s="1">
        <f t="shared" si="13"/>
        <v>169</v>
      </c>
      <c r="J42" s="28">
        <v>220</v>
      </c>
      <c r="K42" s="29">
        <v>188</v>
      </c>
      <c r="L42">
        <v>19</v>
      </c>
      <c r="M42">
        <f t="shared" si="14"/>
        <v>19</v>
      </c>
      <c r="N42" s="5">
        <f t="shared" si="15"/>
        <v>207</v>
      </c>
      <c r="O42">
        <f t="shared" si="10"/>
        <v>13</v>
      </c>
      <c r="P42" s="1">
        <f t="shared" si="16"/>
        <v>13</v>
      </c>
      <c r="Q42" s="1">
        <f t="shared" si="17"/>
        <v>169</v>
      </c>
      <c r="S42" s="28">
        <v>220</v>
      </c>
      <c r="T42" s="29">
        <v>220</v>
      </c>
      <c r="U42">
        <v>12.25</v>
      </c>
      <c r="V42">
        <f t="shared" si="18"/>
        <v>-12.25</v>
      </c>
      <c r="W42" s="5">
        <f t="shared" si="21"/>
        <v>207.75</v>
      </c>
      <c r="X42">
        <f t="shared" si="11"/>
        <v>12.25</v>
      </c>
      <c r="Y42" s="1">
        <f t="shared" si="19"/>
        <v>12.25</v>
      </c>
      <c r="Z42" s="1">
        <f t="shared" si="20"/>
        <v>150.0625</v>
      </c>
    </row>
    <row r="43" spans="2:26">
      <c r="B43" s="1"/>
      <c r="C43" s="1"/>
      <c r="D43" s="1">
        <v>28</v>
      </c>
      <c r="E43" s="1">
        <f t="shared" si="9"/>
        <v>9</v>
      </c>
      <c r="F43" s="1">
        <f t="shared" si="12"/>
        <v>9</v>
      </c>
      <c r="G43" s="1">
        <f t="shared" si="13"/>
        <v>81</v>
      </c>
      <c r="J43" s="28">
        <v>226</v>
      </c>
      <c r="K43" s="29">
        <v>198</v>
      </c>
      <c r="L43">
        <v>19</v>
      </c>
      <c r="M43">
        <f t="shared" si="14"/>
        <v>19</v>
      </c>
      <c r="N43" s="5">
        <f t="shared" si="15"/>
        <v>217</v>
      </c>
      <c r="O43">
        <f t="shared" si="10"/>
        <v>9</v>
      </c>
      <c r="P43" s="1">
        <f t="shared" si="16"/>
        <v>9</v>
      </c>
      <c r="Q43" s="1">
        <f t="shared" si="17"/>
        <v>81</v>
      </c>
      <c r="S43" s="28">
        <v>226</v>
      </c>
      <c r="T43" s="29">
        <v>219</v>
      </c>
      <c r="U43">
        <v>12.25</v>
      </c>
      <c r="V43">
        <f t="shared" si="18"/>
        <v>12.25</v>
      </c>
      <c r="W43" s="5">
        <f t="shared" si="21"/>
        <v>231.25</v>
      </c>
      <c r="X43">
        <f t="shared" si="11"/>
        <v>-5.25</v>
      </c>
      <c r="Y43" s="1">
        <f t="shared" si="19"/>
        <v>5.25</v>
      </c>
      <c r="Z43" s="1">
        <f t="shared" si="20"/>
        <v>27.5625</v>
      </c>
    </row>
    <row r="44" spans="2:26">
      <c r="B44" s="1"/>
      <c r="C44" s="1"/>
      <c r="D44" s="1">
        <v>21</v>
      </c>
      <c r="E44" s="1">
        <f t="shared" si="9"/>
        <v>2</v>
      </c>
      <c r="F44" s="1">
        <f t="shared" si="12"/>
        <v>2</v>
      </c>
      <c r="G44" s="1">
        <f t="shared" si="13"/>
        <v>4</v>
      </c>
      <c r="J44" s="28">
        <v>234</v>
      </c>
      <c r="K44" s="29">
        <v>213</v>
      </c>
      <c r="L44">
        <v>19</v>
      </c>
      <c r="M44">
        <f t="shared" si="14"/>
        <v>19</v>
      </c>
      <c r="N44" s="5">
        <f t="shared" si="15"/>
        <v>232</v>
      </c>
      <c r="O44">
        <f t="shared" si="10"/>
        <v>2</v>
      </c>
      <c r="P44" s="1">
        <f t="shared" si="16"/>
        <v>2</v>
      </c>
      <c r="Q44" s="1">
        <f t="shared" si="17"/>
        <v>4</v>
      </c>
      <c r="S44" s="28">
        <v>234</v>
      </c>
      <c r="T44" s="29">
        <v>220</v>
      </c>
      <c r="U44">
        <v>12.25</v>
      </c>
      <c r="V44">
        <f t="shared" si="18"/>
        <v>12.25</v>
      </c>
      <c r="W44" s="5">
        <f>T44+V44</f>
        <v>232.25</v>
      </c>
      <c r="X44">
        <f t="shared" si="11"/>
        <v>1.75</v>
      </c>
      <c r="Y44" s="1">
        <f t="shared" si="19"/>
        <v>1.75</v>
      </c>
      <c r="Z44" s="1">
        <f t="shared" si="20"/>
        <v>3.0625</v>
      </c>
    </row>
    <row r="45" spans="2:26">
      <c r="B45" s="1"/>
      <c r="C45" s="1"/>
      <c r="D45" s="1">
        <v>12</v>
      </c>
      <c r="E45" s="1">
        <f t="shared" si="9"/>
        <v>-7</v>
      </c>
      <c r="F45" s="1">
        <f t="shared" si="12"/>
        <v>7</v>
      </c>
      <c r="G45" s="1">
        <f t="shared" si="13"/>
        <v>49</v>
      </c>
      <c r="J45" s="28">
        <v>231</v>
      </c>
      <c r="K45" s="29">
        <v>219</v>
      </c>
      <c r="L45">
        <v>19</v>
      </c>
      <c r="M45">
        <f t="shared" si="14"/>
        <v>19</v>
      </c>
      <c r="N45" s="5">
        <f t="shared" si="15"/>
        <v>238</v>
      </c>
      <c r="O45">
        <f t="shared" si="10"/>
        <v>-7</v>
      </c>
      <c r="P45" s="1">
        <f t="shared" si="16"/>
        <v>7</v>
      </c>
      <c r="Q45" s="1">
        <f t="shared" si="17"/>
        <v>49</v>
      </c>
      <c r="S45" s="28">
        <v>231</v>
      </c>
      <c r="T45" s="29">
        <v>222</v>
      </c>
      <c r="U45">
        <v>12.25</v>
      </c>
      <c r="V45">
        <f t="shared" si="18"/>
        <v>12.25</v>
      </c>
      <c r="W45" s="5">
        <f t="shared" si="21"/>
        <v>234.25</v>
      </c>
      <c r="X45">
        <f t="shared" si="11"/>
        <v>-3.25</v>
      </c>
      <c r="Y45" s="1">
        <f t="shared" si="19"/>
        <v>3.25</v>
      </c>
      <c r="Z45" s="1">
        <f t="shared" si="20"/>
        <v>10.5625</v>
      </c>
    </row>
    <row r="46" spans="2:26">
      <c r="B46" s="1"/>
      <c r="C46" s="1"/>
      <c r="D46" s="1">
        <v>19</v>
      </c>
      <c r="E46" s="1">
        <f t="shared" si="9"/>
        <v>0</v>
      </c>
      <c r="F46" s="1">
        <f t="shared" si="12"/>
        <v>0</v>
      </c>
      <c r="G46" s="1">
        <f t="shared" si="13"/>
        <v>0</v>
      </c>
      <c r="J46" s="28">
        <v>237</v>
      </c>
      <c r="K46" s="29">
        <v>218</v>
      </c>
      <c r="L46">
        <v>19</v>
      </c>
      <c r="M46">
        <f t="shared" si="14"/>
        <v>19</v>
      </c>
      <c r="N46" s="5">
        <f t="shared" si="15"/>
        <v>237</v>
      </c>
      <c r="O46">
        <f t="shared" si="10"/>
        <v>0</v>
      </c>
      <c r="P46" s="1">
        <f t="shared" si="16"/>
        <v>0</v>
      </c>
      <c r="Q46" s="1">
        <f t="shared" si="17"/>
        <v>0</v>
      </c>
      <c r="S46" s="28">
        <v>237</v>
      </c>
      <c r="T46" s="29">
        <v>223</v>
      </c>
      <c r="U46">
        <v>12.25</v>
      </c>
      <c r="V46">
        <f t="shared" si="18"/>
        <v>12.25</v>
      </c>
      <c r="W46" s="5">
        <f t="shared" si="21"/>
        <v>235.25</v>
      </c>
      <c r="X46">
        <f t="shared" si="11"/>
        <v>1.75</v>
      </c>
      <c r="Y46" s="1">
        <f t="shared" si="19"/>
        <v>1.75</v>
      </c>
      <c r="Z46" s="1">
        <f t="shared" si="20"/>
        <v>3.0625</v>
      </c>
    </row>
    <row r="47" spans="2:26">
      <c r="B47" s="1"/>
      <c r="C47" s="1"/>
      <c r="D47" s="1">
        <v>22</v>
      </c>
      <c r="E47" s="1">
        <f t="shared" si="9"/>
        <v>3</v>
      </c>
      <c r="F47" s="1">
        <f t="shared" si="12"/>
        <v>3</v>
      </c>
      <c r="G47" s="1">
        <f t="shared" si="13"/>
        <v>9</v>
      </c>
      <c r="J47" s="28">
        <v>238</v>
      </c>
      <c r="K47" s="29">
        <v>216</v>
      </c>
      <c r="L47">
        <v>19</v>
      </c>
      <c r="M47">
        <f t="shared" si="14"/>
        <v>19</v>
      </c>
      <c r="N47" s="5">
        <f t="shared" si="15"/>
        <v>235</v>
      </c>
      <c r="O47">
        <f t="shared" si="10"/>
        <v>3</v>
      </c>
      <c r="P47" s="1">
        <f t="shared" si="16"/>
        <v>3</v>
      </c>
      <c r="Q47" s="1">
        <f t="shared" si="17"/>
        <v>9</v>
      </c>
      <c r="S47" s="28">
        <v>238</v>
      </c>
      <c r="T47" s="29">
        <v>224</v>
      </c>
      <c r="U47">
        <v>12.25</v>
      </c>
      <c r="V47">
        <f t="shared" si="18"/>
        <v>12.25</v>
      </c>
      <c r="W47" s="5">
        <f t="shared" si="21"/>
        <v>236.25</v>
      </c>
      <c r="X47">
        <f t="shared" si="11"/>
        <v>1.75</v>
      </c>
      <c r="Y47" s="1">
        <f t="shared" si="19"/>
        <v>1.75</v>
      </c>
      <c r="Z47" s="1">
        <f t="shared" si="20"/>
        <v>3.0625</v>
      </c>
    </row>
    <row r="48" spans="2:26">
      <c r="B48" s="1"/>
      <c r="C48" s="1"/>
      <c r="D48" s="1">
        <v>15</v>
      </c>
      <c r="E48" s="1">
        <f t="shared" si="9"/>
        <v>-4</v>
      </c>
      <c r="F48" s="1">
        <f t="shared" si="12"/>
        <v>4</v>
      </c>
      <c r="G48" s="1">
        <f t="shared" si="13"/>
        <v>16</v>
      </c>
      <c r="J48" s="28">
        <v>233</v>
      </c>
      <c r="K48" s="29">
        <v>218</v>
      </c>
      <c r="L48">
        <v>19</v>
      </c>
      <c r="M48">
        <f t="shared" si="14"/>
        <v>19</v>
      </c>
      <c r="N48" s="5">
        <f t="shared" si="15"/>
        <v>237</v>
      </c>
      <c r="O48">
        <f t="shared" si="10"/>
        <v>-4</v>
      </c>
      <c r="P48" s="1">
        <f t="shared" si="16"/>
        <v>4</v>
      </c>
      <c r="Q48" s="1">
        <f t="shared" si="17"/>
        <v>16</v>
      </c>
      <c r="S48" s="28">
        <v>233</v>
      </c>
      <c r="T48" s="29">
        <v>220</v>
      </c>
      <c r="U48">
        <v>12.25</v>
      </c>
      <c r="V48">
        <f t="shared" si="18"/>
        <v>12.25</v>
      </c>
      <c r="W48" s="5">
        <f t="shared" si="21"/>
        <v>232.25</v>
      </c>
      <c r="X48">
        <f t="shared" si="11"/>
        <v>0.75</v>
      </c>
      <c r="Y48" s="1">
        <f t="shared" si="19"/>
        <v>0.75</v>
      </c>
      <c r="Z48" s="1">
        <f t="shared" si="20"/>
        <v>0.5625</v>
      </c>
    </row>
    <row r="49" spans="2:26">
      <c r="B49" s="1"/>
      <c r="C49" s="1"/>
      <c r="D49" s="1">
        <v>18</v>
      </c>
      <c r="E49" s="1">
        <f t="shared" si="9"/>
        <v>-1</v>
      </c>
      <c r="F49" s="1">
        <f t="shared" si="12"/>
        <v>1</v>
      </c>
      <c r="G49" s="1">
        <f t="shared" si="13"/>
        <v>1</v>
      </c>
      <c r="J49" s="28">
        <v>235</v>
      </c>
      <c r="K49" s="29">
        <v>217</v>
      </c>
      <c r="L49">
        <v>19</v>
      </c>
      <c r="M49">
        <f t="shared" si="14"/>
        <v>19</v>
      </c>
      <c r="N49" s="5">
        <f t="shared" si="15"/>
        <v>236</v>
      </c>
      <c r="O49">
        <f t="shared" si="10"/>
        <v>-1</v>
      </c>
      <c r="P49" s="1">
        <f t="shared" si="16"/>
        <v>1</v>
      </c>
      <c r="Q49" s="1">
        <f t="shared" si="17"/>
        <v>1</v>
      </c>
      <c r="S49" s="28">
        <v>235</v>
      </c>
      <c r="T49" s="29">
        <v>221</v>
      </c>
      <c r="U49">
        <v>12.25</v>
      </c>
      <c r="V49">
        <f t="shared" si="18"/>
        <v>12.25</v>
      </c>
      <c r="W49" s="5">
        <f t="shared" si="21"/>
        <v>233.25</v>
      </c>
      <c r="X49">
        <f t="shared" si="11"/>
        <v>1.75</v>
      </c>
      <c r="Y49" s="1">
        <f t="shared" si="19"/>
        <v>1.75</v>
      </c>
      <c r="Z49" s="1">
        <f t="shared" si="20"/>
        <v>3.0625</v>
      </c>
    </row>
    <row r="50" spans="2:26">
      <c r="B50" s="1"/>
      <c r="C50" s="1"/>
      <c r="D50" s="1">
        <v>13</v>
      </c>
      <c r="E50" s="1">
        <f t="shared" si="9"/>
        <v>-6</v>
      </c>
      <c r="F50" s="1">
        <f t="shared" si="12"/>
        <v>6</v>
      </c>
      <c r="G50" s="1">
        <f t="shared" si="13"/>
        <v>36</v>
      </c>
      <c r="J50" s="28">
        <v>228</v>
      </c>
      <c r="K50" s="29">
        <v>215</v>
      </c>
      <c r="L50">
        <v>19</v>
      </c>
      <c r="M50">
        <f t="shared" si="14"/>
        <v>19</v>
      </c>
      <c r="N50" s="5">
        <f t="shared" si="15"/>
        <v>234</v>
      </c>
      <c r="O50">
        <f t="shared" si="10"/>
        <v>-6</v>
      </c>
      <c r="P50" s="1">
        <f t="shared" si="16"/>
        <v>6</v>
      </c>
      <c r="Q50" s="1">
        <f t="shared" si="17"/>
        <v>36</v>
      </c>
      <c r="S50" s="28">
        <v>228</v>
      </c>
      <c r="T50" s="29">
        <v>219</v>
      </c>
      <c r="U50">
        <v>12.25</v>
      </c>
      <c r="V50">
        <f t="shared" si="18"/>
        <v>12.25</v>
      </c>
      <c r="W50" s="5">
        <f t="shared" si="21"/>
        <v>231.25</v>
      </c>
      <c r="X50">
        <f t="shared" si="11"/>
        <v>-3.25</v>
      </c>
      <c r="Y50" s="1">
        <f t="shared" si="19"/>
        <v>3.25</v>
      </c>
      <c r="Z50" s="1">
        <f t="shared" si="20"/>
        <v>10.5625</v>
      </c>
    </row>
    <row r="51" spans="2:26">
      <c r="B51" s="1"/>
      <c r="C51" s="1"/>
      <c r="D51" s="1">
        <v>9</v>
      </c>
      <c r="E51" s="1">
        <f t="shared" si="9"/>
        <v>-10</v>
      </c>
      <c r="F51" s="1">
        <f t="shared" si="12"/>
        <v>10</v>
      </c>
      <c r="G51" s="1">
        <f t="shared" si="13"/>
        <v>100</v>
      </c>
      <c r="J51" s="28">
        <v>223</v>
      </c>
      <c r="K51" s="29">
        <v>214</v>
      </c>
      <c r="L51">
        <v>19</v>
      </c>
      <c r="M51">
        <f t="shared" si="14"/>
        <v>19</v>
      </c>
      <c r="N51" s="5">
        <f t="shared" si="15"/>
        <v>233</v>
      </c>
      <c r="O51">
        <f t="shared" si="10"/>
        <v>-10</v>
      </c>
      <c r="P51" s="1">
        <f t="shared" si="16"/>
        <v>10</v>
      </c>
      <c r="Q51" s="1">
        <f t="shared" si="17"/>
        <v>100</v>
      </c>
      <c r="S51" s="28">
        <v>223</v>
      </c>
      <c r="T51" s="29">
        <v>219</v>
      </c>
      <c r="U51">
        <v>12.25</v>
      </c>
      <c r="V51">
        <f t="shared" si="18"/>
        <v>12.25</v>
      </c>
      <c r="W51" s="5">
        <f t="shared" si="21"/>
        <v>231.25</v>
      </c>
      <c r="X51">
        <f t="shared" si="11"/>
        <v>-8.25</v>
      </c>
      <c r="Y51" s="1">
        <f t="shared" si="19"/>
        <v>8.25</v>
      </c>
      <c r="Z51" s="1">
        <f t="shared" si="20"/>
        <v>68.0625</v>
      </c>
    </row>
    <row r="52" spans="2:26">
      <c r="B52" s="1"/>
      <c r="C52" s="1"/>
      <c r="D52" s="1">
        <v>16</v>
      </c>
      <c r="E52" s="1">
        <f t="shared" si="9"/>
        <v>-3</v>
      </c>
      <c r="F52" s="1">
        <f t="shared" si="12"/>
        <v>3</v>
      </c>
      <c r="G52" s="1">
        <f t="shared" si="13"/>
        <v>9</v>
      </c>
      <c r="J52" s="28">
        <v>230</v>
      </c>
      <c r="K52" s="29">
        <v>214</v>
      </c>
      <c r="L52">
        <v>19</v>
      </c>
      <c r="M52">
        <f t="shared" si="14"/>
        <v>19</v>
      </c>
      <c r="N52" s="5">
        <f t="shared" si="15"/>
        <v>233</v>
      </c>
      <c r="O52">
        <f t="shared" si="10"/>
        <v>-3</v>
      </c>
      <c r="P52" s="1">
        <f t="shared" si="16"/>
        <v>3</v>
      </c>
      <c r="Q52" s="1">
        <f t="shared" si="17"/>
        <v>9</v>
      </c>
      <c r="S52" s="28">
        <v>230</v>
      </c>
      <c r="T52" s="29">
        <v>223</v>
      </c>
      <c r="U52">
        <v>12.25</v>
      </c>
      <c r="V52">
        <f t="shared" si="18"/>
        <v>12.25</v>
      </c>
      <c r="W52" s="5">
        <f t="shared" si="21"/>
        <v>235.25</v>
      </c>
      <c r="X52">
        <f t="shared" si="11"/>
        <v>-5.25</v>
      </c>
      <c r="Y52" s="1">
        <f t="shared" si="19"/>
        <v>5.25</v>
      </c>
      <c r="Z52" s="1">
        <f t="shared" si="20"/>
        <v>27.5625</v>
      </c>
    </row>
    <row r="53" spans="2:26">
      <c r="B53" s="1"/>
      <c r="C53" s="1"/>
      <c r="D53" s="1">
        <v>23</v>
      </c>
      <c r="E53" s="1">
        <f t="shared" si="9"/>
        <v>4</v>
      </c>
      <c r="F53" s="1">
        <f t="shared" si="12"/>
        <v>4</v>
      </c>
      <c r="G53" s="1">
        <f t="shared" si="13"/>
        <v>16</v>
      </c>
      <c r="J53" s="28">
        <v>233</v>
      </c>
      <c r="K53" s="29">
        <v>210</v>
      </c>
      <c r="L53">
        <v>19</v>
      </c>
      <c r="M53">
        <f t="shared" si="14"/>
        <v>19</v>
      </c>
      <c r="N53" s="5">
        <f t="shared" si="15"/>
        <v>229</v>
      </c>
      <c r="O53">
        <f t="shared" si="10"/>
        <v>4</v>
      </c>
      <c r="P53" s="1">
        <f t="shared" si="16"/>
        <v>4</v>
      </c>
      <c r="Q53" s="1">
        <f t="shared" si="17"/>
        <v>16</v>
      </c>
      <c r="S53" s="28">
        <v>233</v>
      </c>
      <c r="T53" s="29">
        <v>222</v>
      </c>
      <c r="U53">
        <v>12.25</v>
      </c>
      <c r="V53">
        <f t="shared" si="18"/>
        <v>12.25</v>
      </c>
      <c r="W53" s="5">
        <f t="shared" si="21"/>
        <v>234.25</v>
      </c>
      <c r="X53">
        <f t="shared" si="11"/>
        <v>-1.25</v>
      </c>
      <c r="Y53" s="1">
        <f t="shared" si="19"/>
        <v>1.25</v>
      </c>
      <c r="Z53" s="1">
        <f t="shared" si="20"/>
        <v>1.5625</v>
      </c>
    </row>
    <row r="54" spans="2:26">
      <c r="B54" s="1"/>
      <c r="C54" s="1"/>
      <c r="D54" s="1">
        <v>14</v>
      </c>
      <c r="E54" s="1">
        <f t="shared" si="9"/>
        <v>-5</v>
      </c>
      <c r="F54" s="1">
        <f t="shared" si="12"/>
        <v>5</v>
      </c>
      <c r="G54" s="1">
        <f t="shared" si="13"/>
        <v>25</v>
      </c>
      <c r="J54" s="28">
        <v>226</v>
      </c>
      <c r="K54" s="29">
        <v>212</v>
      </c>
      <c r="L54">
        <v>19</v>
      </c>
      <c r="M54">
        <f t="shared" si="14"/>
        <v>19</v>
      </c>
      <c r="N54" s="5">
        <f t="shared" si="15"/>
        <v>231</v>
      </c>
      <c r="O54">
        <f t="shared" si="10"/>
        <v>-5</v>
      </c>
      <c r="P54" s="1">
        <f t="shared" si="16"/>
        <v>5</v>
      </c>
      <c r="Q54" s="1">
        <f t="shared" si="17"/>
        <v>25</v>
      </c>
      <c r="S54" s="28">
        <v>226</v>
      </c>
      <c r="T54" s="29">
        <v>220</v>
      </c>
      <c r="U54">
        <v>12.25</v>
      </c>
      <c r="V54">
        <f t="shared" si="18"/>
        <v>12.25</v>
      </c>
      <c r="W54" s="5">
        <f t="shared" si="21"/>
        <v>232.25</v>
      </c>
      <c r="X54">
        <f t="shared" si="11"/>
        <v>-6.25</v>
      </c>
      <c r="Y54" s="1">
        <f t="shared" si="19"/>
        <v>6.25</v>
      </c>
      <c r="Z54" s="1">
        <f t="shared" si="20"/>
        <v>39.0625</v>
      </c>
    </row>
    <row r="55" spans="2:26">
      <c r="B55" s="40" t="s">
        <v>88</v>
      </c>
      <c r="C55" s="1"/>
      <c r="D55" s="81">
        <f>AVERAGE(D35:D54)</f>
        <v>19</v>
      </c>
      <c r="E55" s="1"/>
      <c r="F55" s="1"/>
      <c r="P55" s="81">
        <f>AVERAGE(P35:P54)</f>
        <v>4.4000000000000004</v>
      </c>
      <c r="Q55" s="81">
        <f>AVERAGE(Q35:Q54)</f>
        <v>29.6</v>
      </c>
      <c r="U55"/>
      <c r="V55"/>
      <c r="Y55" s="81">
        <f>AVERAGE(Y35:Y54)</f>
        <v>4.9249999999999998</v>
      </c>
      <c r="Z55" s="81">
        <f>AVERAGE(Z35:Z54)</f>
        <v>35.087499999999999</v>
      </c>
    </row>
    <row r="56" spans="2:26">
      <c r="B56" s="8" t="s">
        <v>89</v>
      </c>
      <c r="C56" s="8"/>
      <c r="E56" s="1"/>
      <c r="F56" s="38">
        <f>AVERAGE(F35:F54)</f>
        <v>4.4000000000000004</v>
      </c>
      <c r="M56" t="s">
        <v>214</v>
      </c>
    </row>
    <row r="57" spans="2:26">
      <c r="B57" t="s">
        <v>91</v>
      </c>
      <c r="F57" s="38">
        <f>AVERAGE(G35:G54)</f>
        <v>29.6</v>
      </c>
    </row>
    <row r="58" spans="2:26">
      <c r="B58" s="8" t="s">
        <v>90</v>
      </c>
      <c r="C58" s="8"/>
      <c r="E58" s="1"/>
      <c r="F58" s="38">
        <f>SQRT(F57)</f>
        <v>5.440588203494177</v>
      </c>
    </row>
    <row r="59" spans="2:26">
      <c r="E59" s="1"/>
      <c r="F59" s="1"/>
    </row>
    <row r="60" spans="2:26">
      <c r="E60" s="1"/>
      <c r="F60" s="1"/>
    </row>
    <row r="61" spans="2:26">
      <c r="E61" s="1"/>
      <c r="F61" s="1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9AC27-CD8E-47C6-94C4-5180488A9DD5}">
  <dimension ref="B2:E42"/>
  <sheetViews>
    <sheetView zoomScale="80" zoomScaleNormal="80" workbookViewId="0">
      <selection activeCell="G6" sqref="G6"/>
    </sheetView>
  </sheetViews>
  <sheetFormatPr defaultRowHeight="14.3"/>
  <cols>
    <col min="2" max="2" width="25.75" customWidth="1"/>
    <col min="3" max="3" width="23.5" customWidth="1"/>
    <col min="4" max="4" width="12.375" bestFit="1" customWidth="1"/>
  </cols>
  <sheetData>
    <row r="2" spans="2:3">
      <c r="B2" t="s">
        <v>130</v>
      </c>
      <c r="C2" s="93">
        <v>500</v>
      </c>
    </row>
    <row r="3" spans="2:3">
      <c r="B3" t="s">
        <v>131</v>
      </c>
      <c r="C3" s="91">
        <v>4000</v>
      </c>
    </row>
    <row r="4" spans="2:3">
      <c r="B4" t="s">
        <v>132</v>
      </c>
      <c r="C4" s="92">
        <v>10000</v>
      </c>
    </row>
    <row r="5" spans="2:3">
      <c r="B5" t="s">
        <v>133</v>
      </c>
      <c r="C5" s="91">
        <v>80</v>
      </c>
    </row>
    <row r="7" spans="2:3">
      <c r="B7" t="s">
        <v>104</v>
      </c>
    </row>
    <row r="8" spans="2:3">
      <c r="B8" t="s">
        <v>134</v>
      </c>
      <c r="C8" s="5">
        <f>SQRT((2*C4*C3)/C5)</f>
        <v>1000</v>
      </c>
    </row>
    <row r="11" spans="2:3">
      <c r="B11" t="s">
        <v>110</v>
      </c>
    </row>
    <row r="12" spans="2:3">
      <c r="B12" t="s">
        <v>135</v>
      </c>
      <c r="C12" s="90">
        <f>C3*C2</f>
        <v>2000000</v>
      </c>
    </row>
    <row r="13" spans="2:3">
      <c r="B13" t="s">
        <v>136</v>
      </c>
      <c r="C13" s="90">
        <f>C4*C3/C8</f>
        <v>40000</v>
      </c>
    </row>
    <row r="14" spans="2:3">
      <c r="B14" t="s">
        <v>137</v>
      </c>
      <c r="C14" s="90">
        <f>C5*(C8/2)</f>
        <v>40000</v>
      </c>
    </row>
    <row r="23" spans="2:5">
      <c r="B23" t="s">
        <v>138</v>
      </c>
      <c r="C23" t="s">
        <v>148</v>
      </c>
      <c r="D23">
        <v>500</v>
      </c>
    </row>
    <row r="24" spans="2:5">
      <c r="C24" s="12" t="s">
        <v>149</v>
      </c>
      <c r="D24" s="94">
        <f>D23*0.95</f>
        <v>475</v>
      </c>
      <c r="E24" t="s">
        <v>139</v>
      </c>
    </row>
    <row r="25" spans="2:5">
      <c r="B25" t="s">
        <v>143</v>
      </c>
    </row>
    <row r="26" spans="2:5">
      <c r="B26" t="s">
        <v>140</v>
      </c>
      <c r="C26" s="89">
        <f>C3*D24</f>
        <v>1900000</v>
      </c>
    </row>
    <row r="27" spans="2:5">
      <c r="B27" t="s">
        <v>141</v>
      </c>
      <c r="C27" s="89">
        <f>C4*C3/2000</f>
        <v>20000</v>
      </c>
    </row>
    <row r="28" spans="2:5">
      <c r="B28" t="s">
        <v>142</v>
      </c>
      <c r="C28" s="89">
        <f>(2000/2)*C5</f>
        <v>80000</v>
      </c>
    </row>
    <row r="39" spans="2:4">
      <c r="B39" t="s">
        <v>144</v>
      </c>
    </row>
    <row r="40" spans="2:4">
      <c r="B40" s="12" t="s">
        <v>146</v>
      </c>
      <c r="C40" s="12" t="s">
        <v>145</v>
      </c>
      <c r="D40" s="95">
        <f>SUM(C12:C14)</f>
        <v>2080000</v>
      </c>
    </row>
    <row r="41" spans="2:4">
      <c r="B41" s="12" t="s">
        <v>143</v>
      </c>
      <c r="C41" s="12" t="s">
        <v>145</v>
      </c>
      <c r="D41" s="95">
        <f>SUM(C26:C28)</f>
        <v>2000000</v>
      </c>
    </row>
    <row r="42" spans="2:4">
      <c r="C42" s="12" t="s">
        <v>147</v>
      </c>
      <c r="D42" s="90">
        <f>D40-D41</f>
        <v>80000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27E7C-ED64-4092-A13F-C07F9E89B589}">
  <dimension ref="A1:G31"/>
  <sheetViews>
    <sheetView topLeftCell="A25" zoomScale="80" zoomScaleNormal="80" workbookViewId="0">
      <selection activeCell="I30" sqref="I30"/>
    </sheetView>
  </sheetViews>
  <sheetFormatPr defaultRowHeight="14.3"/>
  <cols>
    <col min="2" max="2" width="29.125" customWidth="1"/>
    <col min="3" max="3" width="18.375" customWidth="1"/>
    <col min="4" max="4" width="16.75" customWidth="1"/>
  </cols>
  <sheetData>
    <row r="1" spans="1:6">
      <c r="C1" t="s">
        <v>96</v>
      </c>
      <c r="D1" t="s">
        <v>97</v>
      </c>
    </row>
    <row r="2" spans="1:6">
      <c r="B2" t="s">
        <v>98</v>
      </c>
      <c r="C2" s="82">
        <v>1.25</v>
      </c>
      <c r="D2" s="82">
        <v>1</v>
      </c>
    </row>
    <row r="3" spans="1:6">
      <c r="B3" t="s">
        <v>99</v>
      </c>
      <c r="C3" s="83">
        <v>2</v>
      </c>
      <c r="D3" s="83">
        <v>12</v>
      </c>
    </row>
    <row r="4" spans="1:6">
      <c r="B4" t="s">
        <v>100</v>
      </c>
      <c r="C4" s="82">
        <v>0.12</v>
      </c>
      <c r="D4" s="82">
        <v>0.15</v>
      </c>
    </row>
    <row r="5" spans="1:6">
      <c r="C5" s="1"/>
      <c r="D5" s="1"/>
    </row>
    <row r="6" spans="1:6">
      <c r="B6" t="s">
        <v>101</v>
      </c>
      <c r="C6" s="83">
        <v>100</v>
      </c>
      <c r="D6" s="1"/>
    </row>
    <row r="7" spans="1:6">
      <c r="B7" t="s">
        <v>102</v>
      </c>
      <c r="C7" s="83">
        <v>40</v>
      </c>
      <c r="D7" s="1"/>
    </row>
    <row r="8" spans="1:6">
      <c r="B8" t="s">
        <v>103</v>
      </c>
      <c r="C8" s="82">
        <v>0.02</v>
      </c>
      <c r="D8" s="1"/>
    </row>
    <row r="10" spans="1:6">
      <c r="A10" t="s">
        <v>104</v>
      </c>
      <c r="B10" t="s">
        <v>105</v>
      </c>
      <c r="C10" s="84">
        <f>C4+C2+C8*C3</f>
        <v>1.4100000000000001</v>
      </c>
      <c r="D10" s="84">
        <f>D4+D2+C8*D3</f>
        <v>1.39</v>
      </c>
      <c r="F10" s="80" t="s">
        <v>106</v>
      </c>
    </row>
    <row r="11" spans="1:6">
      <c r="B11" t="s">
        <v>107</v>
      </c>
    </row>
    <row r="12" spans="1:6">
      <c r="B12" t="s">
        <v>108</v>
      </c>
    </row>
    <row r="15" spans="1:6">
      <c r="B15" s="85" t="s">
        <v>109</v>
      </c>
      <c r="C15" s="86">
        <v>2</v>
      </c>
      <c r="D15" s="85" t="s">
        <v>39</v>
      </c>
      <c r="E15" s="86">
        <v>2</v>
      </c>
    </row>
    <row r="16" spans="1:6">
      <c r="A16" t="s">
        <v>110</v>
      </c>
      <c r="B16" t="s">
        <v>111</v>
      </c>
      <c r="C16" s="5">
        <f>C6*(C15+C3)+E15*C7*(SQRT(C15+C3))</f>
        <v>560</v>
      </c>
      <c r="D16" s="12" t="s">
        <v>150</v>
      </c>
      <c r="E16" s="80" t="s">
        <v>112</v>
      </c>
    </row>
    <row r="17" spans="1:7">
      <c r="B17" t="s">
        <v>113</v>
      </c>
      <c r="C17" s="87">
        <f>C6*(C15+D3)+E15*C7*(SQRT(C15+D3))</f>
        <v>1699.3325909419154</v>
      </c>
    </row>
    <row r="21" spans="1:7">
      <c r="A21" t="s">
        <v>114</v>
      </c>
      <c r="B21" t="s">
        <v>115</v>
      </c>
    </row>
    <row r="22" spans="1:7">
      <c r="B22" t="s">
        <v>116</v>
      </c>
    </row>
    <row r="23" spans="1:7">
      <c r="B23" t="s">
        <v>117</v>
      </c>
    </row>
    <row r="24" spans="1:7">
      <c r="B24" t="s">
        <v>118</v>
      </c>
    </row>
    <row r="25" spans="1:7">
      <c r="C25" t="s">
        <v>119</v>
      </c>
      <c r="D25" t="s">
        <v>120</v>
      </c>
    </row>
    <row r="26" spans="1:7">
      <c r="B26" t="s">
        <v>121</v>
      </c>
      <c r="C26" s="88">
        <v>1.25</v>
      </c>
      <c r="D26" s="88">
        <v>1</v>
      </c>
    </row>
    <row r="27" spans="1:7">
      <c r="B27" t="s">
        <v>122</v>
      </c>
      <c r="C27" s="88">
        <v>0.12</v>
      </c>
      <c r="D27" s="88">
        <v>0.15</v>
      </c>
    </row>
    <row r="28" spans="1:7">
      <c r="B28" t="s">
        <v>123</v>
      </c>
      <c r="C28">
        <f>C6*C3</f>
        <v>200</v>
      </c>
      <c r="D28">
        <f>C6*D3</f>
        <v>1200</v>
      </c>
      <c r="E28" t="s">
        <v>151</v>
      </c>
    </row>
    <row r="29" spans="1:7">
      <c r="B29" t="s">
        <v>124</v>
      </c>
      <c r="C29" s="5">
        <f>(C6*C15)/2</f>
        <v>100</v>
      </c>
      <c r="D29" s="5">
        <f>(C6*C15)/2</f>
        <v>100</v>
      </c>
      <c r="E29" s="80" t="s">
        <v>125</v>
      </c>
      <c r="F29" s="80"/>
      <c r="G29" s="80"/>
    </row>
    <row r="30" spans="1:7">
      <c r="B30" t="s">
        <v>126</v>
      </c>
      <c r="C30" s="5">
        <f>E15*C7*SQRT(C15+C3)</f>
        <v>160</v>
      </c>
      <c r="D30" s="87">
        <f>E15*C7*(SQRT(C15+D3))</f>
        <v>299.33259094191533</v>
      </c>
      <c r="E30" s="80" t="s">
        <v>127</v>
      </c>
      <c r="F30" s="80"/>
      <c r="G30" s="80"/>
    </row>
    <row r="31" spans="1:7">
      <c r="B31" t="s">
        <v>128</v>
      </c>
      <c r="C31" s="89">
        <f>C6*C10+C8*(C29+C30)</f>
        <v>146.19999999999999</v>
      </c>
      <c r="D31" s="90">
        <f>C6*D10+C8*(D29+D30)</f>
        <v>146.98665181883831</v>
      </c>
      <c r="E31" s="80" t="s">
        <v>129</v>
      </c>
      <c r="F31" s="80"/>
      <c r="G31" s="8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6C3D8-0AD1-4678-86B8-83A918393EEE}">
  <dimension ref="A2:H39"/>
  <sheetViews>
    <sheetView zoomScale="90" zoomScaleNormal="90" workbookViewId="0">
      <selection activeCell="E22" sqref="E22"/>
    </sheetView>
  </sheetViews>
  <sheetFormatPr defaultRowHeight="14.3"/>
  <cols>
    <col min="2" max="2" width="20" customWidth="1"/>
    <col min="3" max="3" width="12.875" customWidth="1"/>
    <col min="4" max="4" width="11.125" customWidth="1"/>
  </cols>
  <sheetData>
    <row r="2" spans="1:8">
      <c r="B2" t="s">
        <v>154</v>
      </c>
      <c r="C2" s="91">
        <v>9</v>
      </c>
      <c r="H2" t="s">
        <v>172</v>
      </c>
    </row>
    <row r="3" spans="1:8">
      <c r="B3" t="s">
        <v>155</v>
      </c>
      <c r="C3" s="91">
        <v>2</v>
      </c>
      <c r="H3" s="22">
        <f>_xlfn.NORM.S.DIST(2,TRUE)</f>
        <v>0.97724986805182079</v>
      </c>
    </row>
    <row r="4" spans="1:8">
      <c r="B4" t="s">
        <v>156</v>
      </c>
      <c r="C4" s="91">
        <v>1</v>
      </c>
    </row>
    <row r="6" spans="1:8">
      <c r="B6" t="s">
        <v>157</v>
      </c>
      <c r="C6" t="s">
        <v>158</v>
      </c>
      <c r="D6" t="s">
        <v>159</v>
      </c>
    </row>
    <row r="7" spans="1:8">
      <c r="B7" t="s">
        <v>160</v>
      </c>
      <c r="C7" s="96">
        <v>100</v>
      </c>
      <c r="D7" s="96">
        <v>30</v>
      </c>
    </row>
    <row r="8" spans="1:8">
      <c r="B8" t="s">
        <v>161</v>
      </c>
      <c r="C8" s="96">
        <v>80</v>
      </c>
      <c r="D8" s="96">
        <v>24</v>
      </c>
    </row>
    <row r="9" spans="1:8">
      <c r="B9" t="s">
        <v>162</v>
      </c>
      <c r="C9" s="96">
        <v>150</v>
      </c>
      <c r="D9" s="96">
        <v>45</v>
      </c>
    </row>
    <row r="11" spans="1:8">
      <c r="A11" t="s">
        <v>104</v>
      </c>
      <c r="B11" t="s">
        <v>163</v>
      </c>
    </row>
    <row r="12" spans="1:8">
      <c r="B12" t="s">
        <v>157</v>
      </c>
      <c r="C12" s="1" t="s">
        <v>164</v>
      </c>
    </row>
    <row r="13" spans="1:8">
      <c r="B13" t="s">
        <v>160</v>
      </c>
      <c r="C13" s="97">
        <f>$C$3*D7*SQRT($C$2+$C$4)</f>
        <v>189.73665961010278</v>
      </c>
    </row>
    <row r="14" spans="1:8">
      <c r="B14" t="s">
        <v>161</v>
      </c>
      <c r="C14" s="97">
        <f>$C$3*D8*SQRT($C$2+$C$4)</f>
        <v>151.78932768808221</v>
      </c>
    </row>
    <row r="15" spans="1:8">
      <c r="B15" t="s">
        <v>162</v>
      </c>
      <c r="C15" s="97">
        <f>$C$3*D9*SQRT($C$2+$C$4)</f>
        <v>284.60498941515414</v>
      </c>
    </row>
    <row r="18" spans="1:6">
      <c r="A18" t="s">
        <v>110</v>
      </c>
      <c r="B18" t="s">
        <v>165</v>
      </c>
      <c r="C18" s="98">
        <v>6</v>
      </c>
      <c r="E18" s="12" t="s">
        <v>166</v>
      </c>
      <c r="F18" s="98">
        <v>3</v>
      </c>
    </row>
    <row r="19" spans="1:6">
      <c r="B19" t="s">
        <v>167</v>
      </c>
      <c r="C19" s="98">
        <v>3</v>
      </c>
    </row>
    <row r="20" spans="1:6">
      <c r="B20" t="s">
        <v>168</v>
      </c>
    </row>
    <row r="21" spans="1:6">
      <c r="B21" t="s">
        <v>157</v>
      </c>
      <c r="C21" s="1" t="s">
        <v>164</v>
      </c>
    </row>
    <row r="22" spans="1:6">
      <c r="B22" t="s">
        <v>160</v>
      </c>
      <c r="C22" s="99">
        <f>$C$3*D7*(SQRT($C$4+$C$19+$C$18/$F$18))</f>
        <v>146.96938456699067</v>
      </c>
    </row>
    <row r="23" spans="1:6">
      <c r="B23" t="s">
        <v>161</v>
      </c>
      <c r="C23" s="99">
        <f>$C$3*D8*SQRT(($C$4+$C$19+($C$18/$F$18)))</f>
        <v>117.57550765359254</v>
      </c>
    </row>
    <row r="24" spans="1:6">
      <c r="B24" t="s">
        <v>162</v>
      </c>
      <c r="C24" s="99">
        <f>$C$3*D9*SQRT($C$4+$C$19+($C$18/$F$18))</f>
        <v>220.45407685048602</v>
      </c>
    </row>
    <row r="25" spans="1:6">
      <c r="B25" t="s">
        <v>169</v>
      </c>
      <c r="C25" s="99">
        <f>SUM(C22:C24)</f>
        <v>484.99896907106927</v>
      </c>
    </row>
    <row r="26" spans="1:6">
      <c r="C26" s="100">
        <f>C25</f>
        <v>484.99896907106927</v>
      </c>
    </row>
    <row r="27" spans="1:6">
      <c r="C27" s="100">
        <f>SUM(C13:C15)</f>
        <v>626.13097671333912</v>
      </c>
    </row>
    <row r="28" spans="1:6">
      <c r="B28" t="s">
        <v>170</v>
      </c>
      <c r="C28" s="101">
        <f>C27-C26</f>
        <v>141.13200764226985</v>
      </c>
    </row>
    <row r="31" spans="1:6">
      <c r="A31" t="s">
        <v>114</v>
      </c>
      <c r="B31" t="s">
        <v>165</v>
      </c>
      <c r="C31" s="98">
        <v>8</v>
      </c>
      <c r="E31" s="12" t="s">
        <v>166</v>
      </c>
      <c r="F31" s="98">
        <v>3</v>
      </c>
    </row>
    <row r="32" spans="1:6">
      <c r="B32" t="s">
        <v>167</v>
      </c>
      <c r="C32" s="22">
        <v>1</v>
      </c>
    </row>
    <row r="33" spans="2:3">
      <c r="B33" t="s">
        <v>171</v>
      </c>
    </row>
    <row r="34" spans="2:3">
      <c r="B34" t="s">
        <v>157</v>
      </c>
      <c r="C34" s="1" t="s">
        <v>164</v>
      </c>
    </row>
    <row r="35" spans="2:3">
      <c r="B35" t="s">
        <v>160</v>
      </c>
      <c r="C35" s="99">
        <f>$C$3*D7*(SQRT($C$4+$C$32+$C$31/$F$18))</f>
        <v>129.61481396815719</v>
      </c>
    </row>
    <row r="36" spans="2:3">
      <c r="B36" t="s">
        <v>161</v>
      </c>
      <c r="C36" s="99">
        <f>$C$3*D8*(SQRT($C$4+$C$32+$C$31/$F$18))</f>
        <v>103.69185117452575</v>
      </c>
    </row>
    <row r="37" spans="2:3">
      <c r="B37" t="s">
        <v>162</v>
      </c>
      <c r="C37" s="99">
        <f>$C$3*D9*(SQRT($C$4+$C$32+$C$31/$F$18))</f>
        <v>194.42222095223579</v>
      </c>
    </row>
    <row r="38" spans="2:3">
      <c r="B38" t="s">
        <v>169</v>
      </c>
      <c r="C38" s="99">
        <f>SUM(C35:C37)</f>
        <v>427.72888609491872</v>
      </c>
    </row>
    <row r="39" spans="2:3">
      <c r="B39" t="s">
        <v>170</v>
      </c>
      <c r="C39" s="101">
        <f>C25-C38</f>
        <v>57.270082976150547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Excel 1 Demand&amp; Prob</vt:lpstr>
      <vt:lpstr>Excel2 Statistic Basics</vt:lpstr>
      <vt:lpstr>Excel3 Z &amp; CSL</vt:lpstr>
      <vt:lpstr>Excel4 Loss Function,FR,SS,ExpI</vt:lpstr>
      <vt:lpstr>Excel5 Forecast, MAD, MSE,MAPE</vt:lpstr>
      <vt:lpstr>Excel6 ME, MAD, RMSE</vt:lpstr>
      <vt:lpstr>Excel 7-EOQ&amp;Discount Q</vt:lpstr>
      <vt:lpstr>Excel8 Dual-sourcing</vt:lpstr>
      <vt:lpstr>Excel9 Direct Shiping&amp;Crossdock</vt:lpstr>
      <vt:lpstr>Excel10 Single serial system </vt:lpstr>
      <vt:lpstr>补充Excel11 Multiple stage, Tau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He</dc:creator>
  <cp:lastModifiedBy>Jenny He</cp:lastModifiedBy>
  <dcterms:created xsi:type="dcterms:W3CDTF">2020-06-07T05:09:53Z</dcterms:created>
  <dcterms:modified xsi:type="dcterms:W3CDTF">2020-06-13T22:49:00Z</dcterms:modified>
</cp:coreProperties>
</file>